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885" windowWidth="19440" windowHeight="3945" tabRatio="676" firstSheet="3" activeTab="6"/>
  </bookViews>
  <sheets>
    <sheet name="Start here" sheetId="1" r:id="rId1"/>
    <sheet name="Translation" sheetId="2" r:id="rId2"/>
    <sheet name="CO2 factors" sheetId="3" r:id="rId3"/>
    <sheet name="Overall strategy" sheetId="4" r:id="rId4"/>
    <sheet name="Baseline emission inventory" sheetId="5" r:id="rId5"/>
    <sheet name="Plan emission inventory in 2020" sheetId="6" r:id="rId6"/>
    <sheet name="ISEAP" sheetId="7" r:id="rId7"/>
    <sheet name="aux" sheetId="8" r:id="rId8"/>
  </sheets>
  <definedNames/>
  <calcPr fullCalcOnLoad="1"/>
</workbook>
</file>

<file path=xl/comments1.xml><?xml version="1.0" encoding="utf-8"?>
<comments xmlns="http://schemas.openxmlformats.org/spreadsheetml/2006/main">
  <authors>
    <author>Autor</author>
  </authors>
  <commentList>
    <comment ref="B4" authorId="0">
      <text>
        <r>
          <rPr>
            <sz val="9"/>
            <rFont val="Tahoma"/>
            <family val="2"/>
          </rPr>
          <t xml:space="preserve">Insert your language code for translation of tables
</t>
        </r>
      </text>
    </comment>
  </commentList>
</comments>
</file>

<file path=xl/comments3.xml><?xml version="1.0" encoding="utf-8"?>
<comments xmlns="http://schemas.openxmlformats.org/spreadsheetml/2006/main">
  <authors>
    <author>Autor</author>
  </authors>
  <commentList>
    <comment ref="T9" authorId="0">
      <text>
        <r>
          <rPr>
            <b/>
            <sz val="9"/>
            <rFont val="Tahoma"/>
            <family val="2"/>
          </rPr>
          <t xml:space="preserve">Autor: </t>
        </r>
        <r>
          <rPr>
            <sz val="11"/>
            <rFont val="Tahoma"/>
            <family val="2"/>
          </rPr>
          <t>Emission factor should be the average emission factor in the destination, since this corresponds to the CO2 avoided in the destination.</t>
        </r>
        <r>
          <rPr>
            <sz val="9"/>
            <rFont val="Tahoma"/>
            <family val="2"/>
          </rPr>
          <t xml:space="preserve">
</t>
        </r>
      </text>
    </comment>
    <comment ref="S9" authorId="0">
      <text>
        <r>
          <rPr>
            <b/>
            <sz val="9"/>
            <rFont val="Tahoma"/>
            <family val="2"/>
          </rPr>
          <t>Autor:</t>
        </r>
        <r>
          <rPr>
            <sz val="9"/>
            <rFont val="Tahoma"/>
            <family val="2"/>
          </rPr>
          <t xml:space="preserve">
</t>
        </r>
        <r>
          <rPr>
            <sz val="11"/>
            <rFont val="Tahoma"/>
            <family val="2"/>
          </rPr>
          <t>Emission factor should be the average emission factor in the origin.</t>
        </r>
      </text>
    </comment>
  </commentList>
</comments>
</file>

<file path=xl/comments7.xml><?xml version="1.0" encoding="utf-8"?>
<comments xmlns="http://schemas.openxmlformats.org/spreadsheetml/2006/main">
  <authors>
    <author>Filipe Oliveira</author>
  </authors>
  <commentList>
    <comment ref="G15" authorId="0">
      <text>
        <r>
          <rPr>
            <sz val="9"/>
            <rFont val="Tahoma"/>
            <family val="0"/>
          </rPr>
          <t xml:space="preserve">2500 houses
</t>
        </r>
      </text>
    </comment>
    <comment ref="G17" authorId="0">
      <text>
        <r>
          <rPr>
            <sz val="9"/>
            <rFont val="Tahoma"/>
            <family val="2"/>
          </rPr>
          <t xml:space="preserve">20 microturbines and bateries
</t>
        </r>
      </text>
    </comment>
    <comment ref="G35" authorId="0">
      <text>
        <r>
          <rPr>
            <sz val="9"/>
            <rFont val="Tahoma"/>
            <family val="2"/>
          </rPr>
          <t>4 year payback of average global investment for energy savings (equipment, installation, control and awareness)</t>
        </r>
      </text>
    </comment>
    <comment ref="G36" authorId="0">
      <text>
        <r>
          <rPr>
            <sz val="9"/>
            <rFont val="Tahoma"/>
            <family val="2"/>
          </rPr>
          <t>4 year payback of average global investment for energy savings (equipment, installation and control)</t>
        </r>
      </text>
    </comment>
    <comment ref="G32" authorId="0">
      <text>
        <r>
          <rPr>
            <sz val="9"/>
            <rFont val="Tahoma"/>
            <family val="2"/>
          </rPr>
          <t>4 year payback of average global investment for energy savings (equipment, installation, control and awareness)</t>
        </r>
      </text>
    </comment>
    <comment ref="G25" authorId="0">
      <text>
        <r>
          <rPr>
            <sz val="9"/>
            <rFont val="Tahoma"/>
            <family val="2"/>
          </rPr>
          <t>4 year payback of average global investment for energy savings (equipment, installation, control and awareness)</t>
        </r>
      </text>
    </comment>
    <comment ref="G16" authorId="0">
      <text>
        <r>
          <rPr>
            <sz val="9"/>
            <rFont val="Tahoma"/>
            <family val="2"/>
          </rPr>
          <t>4 year payback of average global investment for energy savings (equipment, installation, control and awareness)</t>
        </r>
      </text>
    </comment>
    <comment ref="G52" authorId="0">
      <text>
        <r>
          <rPr>
            <sz val="9"/>
            <rFont val="Tahoma"/>
            <family val="2"/>
          </rPr>
          <t>8 year payback of global investment</t>
        </r>
      </text>
    </comment>
    <comment ref="G48" authorId="0">
      <text>
        <r>
          <rPr>
            <sz val="9"/>
            <rFont val="Tahoma"/>
            <family val="2"/>
          </rPr>
          <t>5 year payback of global investment</t>
        </r>
      </text>
    </comment>
    <comment ref="G39" authorId="0">
      <text>
        <r>
          <rPr>
            <sz val="9"/>
            <rFont val="Tahoma"/>
            <family val="2"/>
          </rPr>
          <t xml:space="preserve">For biodiesel storage tank
</t>
        </r>
      </text>
    </comment>
    <comment ref="G41" authorId="0">
      <text>
        <r>
          <rPr>
            <sz val="9"/>
            <rFont val="Tahoma"/>
            <family val="0"/>
          </rPr>
          <t xml:space="preserve">500 regular bicycles, 250 electric bicycles, 250 electric rollers, 125 electric cars
</t>
        </r>
      </text>
    </comment>
    <comment ref="G24" authorId="0">
      <text>
        <r>
          <rPr>
            <sz val="9"/>
            <rFont val="Tahoma"/>
            <family val="0"/>
          </rPr>
          <t xml:space="preserve">25 heat pumps + 5 biomass boilers
</t>
        </r>
      </text>
    </comment>
    <comment ref="G14" authorId="0">
      <text>
        <r>
          <rPr>
            <sz val="9"/>
            <rFont val="Tahoma"/>
            <family val="0"/>
          </rPr>
          <t xml:space="preserve">100 heat pumps + 500 biomass boilers
</t>
        </r>
      </text>
    </comment>
    <comment ref="G30" authorId="0">
      <text>
        <r>
          <rPr>
            <sz val="9"/>
            <rFont val="Tahoma"/>
            <family val="0"/>
          </rPr>
          <t xml:space="preserve">50 heat pumps + 5 biomass boilers
</t>
        </r>
      </text>
    </comment>
    <comment ref="G31" authorId="0">
      <text>
        <r>
          <rPr>
            <sz val="9"/>
            <rFont val="Tahoma"/>
            <family val="0"/>
          </rPr>
          <t xml:space="preserve">50 buildings
</t>
        </r>
      </text>
    </comment>
    <comment ref="G33" authorId="0">
      <text>
        <r>
          <rPr>
            <sz val="9"/>
            <rFont val="Tahoma"/>
            <family val="0"/>
          </rPr>
          <t xml:space="preserve">10 heat pumps + 10 biomass boilers
</t>
        </r>
      </text>
    </comment>
    <comment ref="G34" authorId="0">
      <text>
        <r>
          <rPr>
            <sz val="9"/>
            <rFont val="Tahoma"/>
            <family val="0"/>
          </rPr>
          <t xml:space="preserve">25 buildings
</t>
        </r>
      </text>
    </comment>
  </commentList>
</comments>
</file>

<file path=xl/sharedStrings.xml><?xml version="1.0" encoding="utf-8"?>
<sst xmlns="http://schemas.openxmlformats.org/spreadsheetml/2006/main" count="1746" uniqueCount="1439">
  <si>
    <t>Lagar och regler</t>
  </si>
  <si>
    <t>Σχεδιασμός ενεργειακών υποδομών</t>
  </si>
  <si>
    <t>Σχεδιασμός χρήσεων γης για αξιοποίηση ΑΠΕ</t>
  </si>
  <si>
    <t>Παρακολούθηση</t>
  </si>
  <si>
    <t>Νομοθετήματα</t>
  </si>
  <si>
    <t>Du bedes udfylde din sprogkode i den lysegrøn celle, fylde oversættelse af hvert element i kolonnen nedenfor og sætte koden for dit sprog i den mørkeblå celle i første kolonne:</t>
  </si>
  <si>
    <t>Energieffektivitets krav / standarder</t>
  </si>
  <si>
    <t>OVERALL STRATEGY</t>
  </si>
  <si>
    <t>Absolute reduction</t>
  </si>
  <si>
    <t>Per capita reduction</t>
  </si>
  <si>
    <t>Coordination and organisational structures created/assigned</t>
  </si>
  <si>
    <t>Staff capacity allocated</t>
  </si>
  <si>
    <t>Involvement of stakeholders and citizens</t>
  </si>
  <si>
    <t>Overall estimated budget</t>
  </si>
  <si>
    <t>Foreseen financing sources for the investments within your action plan</t>
  </si>
  <si>
    <t>Planned measures for monitoring and follow up</t>
  </si>
  <si>
    <t>BASELINE EMISSION INVENTORY</t>
  </si>
  <si>
    <t>Inventory year</t>
  </si>
  <si>
    <t>Emission reporting unit</t>
  </si>
  <si>
    <t>Fossil fuels</t>
  </si>
  <si>
    <t>Natural gas</t>
  </si>
  <si>
    <t>Diesel</t>
  </si>
  <si>
    <t>Gasoline</t>
  </si>
  <si>
    <t>Coal</t>
  </si>
  <si>
    <t xml:space="preserve">                  www.islepact.pt</t>
  </si>
  <si>
    <t>ESTRATÉGIA GLOBAL</t>
  </si>
  <si>
    <t>Subtotal</t>
  </si>
  <si>
    <t>DEMAND SECTOR</t>
  </si>
  <si>
    <t>SECTOR DE PROCURA</t>
  </si>
  <si>
    <t>ΤΟΜΕΑΣ ΖΗΤΗΣΗΣ</t>
  </si>
  <si>
    <t>BEHOVSSEKTOR</t>
  </si>
  <si>
    <t>EFTERSPØRGSEL SEKTOR</t>
  </si>
  <si>
    <t>TARBIJAD</t>
  </si>
  <si>
    <t>Υποσύνολο</t>
  </si>
  <si>
    <t>Delsumma</t>
  </si>
  <si>
    <t>Sub-total</t>
  </si>
  <si>
    <t>Vahesumma</t>
  </si>
  <si>
    <t>ENERGY FOR FINAL USE</t>
  </si>
  <si>
    <t>ENERGIA PARA CONSUMO FINAL</t>
  </si>
  <si>
    <t>ΕΝΕΡΓΕΙΑ ΓΙΑ ΤΕΛΙΚΉ ΧΡΗΣΗ</t>
  </si>
  <si>
    <t>ENERGI FÖR SLUTLIG ANVÄNDNING</t>
  </si>
  <si>
    <t>ENERGI til endelig anvendelse</t>
  </si>
  <si>
    <t>ENERGIA LÕPPTARBIMISES</t>
  </si>
  <si>
    <t>Centralized energy services</t>
  </si>
  <si>
    <t>Serviços energéticos centralizados</t>
  </si>
  <si>
    <t>Κεντρικές υπηρεσίες ενέργειας</t>
  </si>
  <si>
    <t>Centraliseret energitjenester</t>
  </si>
  <si>
    <t>Kesksed energiateenused</t>
  </si>
  <si>
    <t>Electricity from public grid</t>
  </si>
  <si>
    <t>Electricidade da rede pública</t>
  </si>
  <si>
    <t>Ηλεκτρική ενέργεια από δημόσιο δίκτυο</t>
  </si>
  <si>
    <t>Elektricitet fra offentlige net</t>
  </si>
  <si>
    <t>Elekter avalikust võrgust</t>
  </si>
  <si>
    <t>Heat from district heating</t>
  </si>
  <si>
    <t>Calor de rede de pública</t>
  </si>
  <si>
    <t>Θέρμανση από τηλεθέρμανση</t>
  </si>
  <si>
    <t>Värme från fjärrvärme</t>
  </si>
  <si>
    <t>Varme fra fjernvarme</t>
  </si>
  <si>
    <t>Soojus kaugküttevõrgust</t>
  </si>
  <si>
    <t>Cold from district cooling</t>
  </si>
  <si>
    <t>Frio de rede pública</t>
  </si>
  <si>
    <t>Ψύξη από τηλεψύξη</t>
  </si>
  <si>
    <t>Kyla från fjärrkyla</t>
  </si>
  <si>
    <t>Kulde fra fjernkøling</t>
  </si>
  <si>
    <t>Jahutus jahutusvõrgust</t>
  </si>
  <si>
    <t>Combustíveis fósseis</t>
  </si>
  <si>
    <t>Ορυκτά καύσιμα</t>
  </si>
  <si>
    <t>Fossila bränslen</t>
  </si>
  <si>
    <t>Fossile brændstoffer</t>
  </si>
  <si>
    <t>Fossiilsed kütused</t>
  </si>
  <si>
    <t>Fueloil</t>
  </si>
  <si>
    <t>Fuelóleo</t>
  </si>
  <si>
    <t>Μαζούτ</t>
  </si>
  <si>
    <t>Eldningsolja</t>
  </si>
  <si>
    <t>Fuelolie</t>
  </si>
  <si>
    <t>kütteõli</t>
  </si>
  <si>
    <t>Gasóleo</t>
  </si>
  <si>
    <t>Πετρέλαιο</t>
  </si>
  <si>
    <t>diisel</t>
  </si>
  <si>
    <t>Gasolina</t>
  </si>
  <si>
    <t>Βενζίνη</t>
  </si>
  <si>
    <t>Bensin</t>
  </si>
  <si>
    <t>Benzin</t>
  </si>
  <si>
    <t>bensiin</t>
  </si>
  <si>
    <t>LPG</t>
  </si>
  <si>
    <t>GPL</t>
  </si>
  <si>
    <t>Υγραέριο</t>
  </si>
  <si>
    <t>majapidamisgaas</t>
  </si>
  <si>
    <t>Gás natural</t>
  </si>
  <si>
    <t>Φυσικό αέριο</t>
  </si>
  <si>
    <t>Naturgas</t>
  </si>
  <si>
    <t>looduslik gaas</t>
  </si>
  <si>
    <t>Carvão</t>
  </si>
  <si>
    <t>Γαιάνθρακας</t>
  </si>
  <si>
    <t>Kol</t>
  </si>
  <si>
    <t>Kul</t>
  </si>
  <si>
    <t>süsi</t>
  </si>
  <si>
    <t>Renewable energy sources (excluding electricity and heat sold to public networks)</t>
  </si>
  <si>
    <t>Fontes energéticas renováveis (excluindo electricidade e calor para venda a redes públicas)</t>
  </si>
  <si>
    <t>Ανανεώσιμες πηγές ενέργειας (εξαιρουμένης της ηλεκτρικής ενέργειας και της θερμότητας που πωλείται σε δημόσια δίκτυα)</t>
  </si>
  <si>
    <t>Vedvarende energikilder (med undtagelse af elektricitet og solgt varme til offentlige net)</t>
  </si>
  <si>
    <t>Taastuvenergia allikad (välistatud elekter ja soojus, mis müüakse avalikesse võrkudesse)</t>
  </si>
  <si>
    <t>Vesi</t>
  </si>
  <si>
    <t>Sol</t>
  </si>
  <si>
    <t>Geotermiline</t>
  </si>
  <si>
    <t>Vågkraft</t>
  </si>
  <si>
    <t>Ocean/ hav</t>
  </si>
  <si>
    <t>Ookean</t>
  </si>
  <si>
    <t>Avfall från städer</t>
  </si>
  <si>
    <t>Prügi</t>
  </si>
  <si>
    <t>Energy recovery</t>
  </si>
  <si>
    <t>Recuperação de energia</t>
  </si>
  <si>
    <t>Ανάκτηση ενέργειας</t>
  </si>
  <si>
    <t>Energiåtervinning</t>
  </si>
  <si>
    <t>Energiudnyttelse</t>
  </si>
  <si>
    <t>Energiatagastust</t>
  </si>
  <si>
    <t>[MWh]</t>
  </si>
  <si>
    <t>Sector description</t>
  </si>
  <si>
    <t>Descrição do sector</t>
  </si>
  <si>
    <t>Περιγραφή τομέα</t>
  </si>
  <si>
    <t>Avdelning , beskrivning</t>
  </si>
  <si>
    <t>Sektor beskrivelse</t>
  </si>
  <si>
    <t>Sektori kirjeldus</t>
  </si>
  <si>
    <t>Redução absoluta</t>
  </si>
  <si>
    <t>Redução per capita</t>
  </si>
  <si>
    <t>Estruturas de coordenação e organização criadas/designadas</t>
  </si>
  <si>
    <t>Meios humanos alocados</t>
  </si>
  <si>
    <t>Envolvimento de partes interessadas e cidadãos</t>
  </si>
  <si>
    <t>Orçamento global estimado</t>
  </si>
  <si>
    <t>Fontes de financiamento previstas para os investimentos do plano de acção</t>
  </si>
  <si>
    <t>Medidas previstas de monitorização e acompanhamento</t>
  </si>
  <si>
    <t>Ano do inventário</t>
  </si>
  <si>
    <t>Unidade das emissões</t>
  </si>
  <si>
    <t>INVENTÁRIO DE EMISSÕES NO ANO BASE</t>
  </si>
  <si>
    <t>CO2 factors</t>
  </si>
  <si>
    <t>Translation</t>
  </si>
  <si>
    <t>LCA</t>
  </si>
  <si>
    <t>IPCC</t>
  </si>
  <si>
    <t>-</t>
  </si>
  <si>
    <t>CO2 emissioonid ETS installatsioonidest, mida arvestatakse teisese energia tootmisel</t>
  </si>
  <si>
    <t>CO2-emissioner fra kvotebelagte anlæg, der indgår i beregningerne for sekundære energiproduktion</t>
  </si>
  <si>
    <t>Εκπομπές CO2 από εγκαταστάσεις ETS που συμπεριλαμβάνονται στους υπολογισμούς για τη δευτερογενή παραγωγή ενέργειας</t>
  </si>
  <si>
    <t>Emissões de CO2 de instalações CELE incluídas no cálculo para a produção de energia secundária</t>
  </si>
  <si>
    <t>CO2 emissions from ETS installations included in the calculations for secondary energy production</t>
  </si>
  <si>
    <t>CO2 emissioonid ETS installatsioonidest, mida arvestatakse lõpliku energiatarbe arvutamisel</t>
  </si>
  <si>
    <t>CO2-emissioner fra kvotebelagte anlæg, der indgår i beregningerne for den endelige anvendelse af energi</t>
  </si>
  <si>
    <t>Εκπομπές CO2 από εγκαταστάσεις ETS που συμπεριλαμβάνονται στους υπολογισμούς για την τελική χρήση της ενέργειας</t>
  </si>
  <si>
    <t>Emissões de CO2 de instalações CELE incluídas no cálculo para a energia final</t>
  </si>
  <si>
    <t>CO2 emissions from ETS installations included in the calculations for final use of energy</t>
  </si>
  <si>
    <t>CO2 emissiooni tegurid</t>
  </si>
  <si>
    <t>CO2-emissionsfaktorer</t>
  </si>
  <si>
    <t>ΣΥΝΤΕΛΕΣΤΕΣ ΕΚΠΟΜΠΩΝ CO2</t>
  </si>
  <si>
    <t>FACTORES DE EMISSÃO DE CO2</t>
  </si>
  <si>
    <t>CO2 EMISSION FACTORS</t>
  </si>
  <si>
    <t>CO2 emissioonid lõpptarbimisest</t>
  </si>
  <si>
    <t>CO2-EMISSIONER FRA SLUT FORBRUG</t>
  </si>
  <si>
    <t>ΕΚΠΟΜΠΕΣ CO2 ΑΠΟ ΤΕΛΙΚΗ ΧΡΗΣΗ</t>
  </si>
  <si>
    <t>EMISSÕES DE CO2 DA UTILIZAÇÃO FINAL</t>
  </si>
  <si>
    <t>CO2 EMISSIONS FROM FINAL USE</t>
  </si>
  <si>
    <t>CO2 emissioonid tootmisest</t>
  </si>
  <si>
    <t>CO2-emissioner fra produktion</t>
  </si>
  <si>
    <t>ΕΚΠΟΜΠΕΣ CO2 ΑΠΟ ΠΑΡΑΓΩΓΗ</t>
  </si>
  <si>
    <t>EMISSÕES DE CO2 DA PRODUÇÃO</t>
  </si>
  <si>
    <t>CO2 EMISSIONS FROM PRODUCTION</t>
  </si>
  <si>
    <t>CO2 emissioonid</t>
  </si>
  <si>
    <t>CO2-EMISSIONER</t>
  </si>
  <si>
    <t>ΕΚΠΟΜΠΕΣ CO2</t>
  </si>
  <si>
    <t>EMISSÕES DE CO2</t>
  </si>
  <si>
    <t>CO2 EMISSIONS</t>
  </si>
  <si>
    <t>Eksporditud elekter (kaabel)</t>
  </si>
  <si>
    <t>Eksporteret elektricitet (kabel)</t>
  </si>
  <si>
    <t>Exporterad el (kabel)</t>
  </si>
  <si>
    <t>Εξαγώμενη ηλεκτρικής ενέργειας</t>
  </si>
  <si>
    <t>Electricidade exportada (cabo)</t>
  </si>
  <si>
    <t>Exported electricity (cable)</t>
  </si>
  <si>
    <t>Imporditud elekter (kaabel)</t>
  </si>
  <si>
    <t>Importeret elektricitet (kabel)</t>
  </si>
  <si>
    <t>Importerad el (kabel)</t>
  </si>
  <si>
    <t>Εισαγώμενη ηλεκτρικής ενέργειας</t>
  </si>
  <si>
    <t>Electricidade importada (cabo)</t>
  </si>
  <si>
    <t>Imported electricity (cable)</t>
  </si>
  <si>
    <t>PRIMAARENERGIA TARVE</t>
  </si>
  <si>
    <t>Primær energiefterspørgsel</t>
  </si>
  <si>
    <t>PRIMÄRT ENERGIBEHOV</t>
  </si>
  <si>
    <t>ΖΗΤΗΣΗ ΠΡΩΤΟΓΕΝΟΥΣ ΕΝΕΡΓΕΙΑΣ</t>
  </si>
  <si>
    <t>PROCURA DE ENERGIA PRIMÁRIA</t>
  </si>
  <si>
    <t>PRIMARY ENERGY DEMAND</t>
  </si>
  <si>
    <t>PRIMAARSED ENERGIA ALLIKAD</t>
  </si>
  <si>
    <t>Primær energikilde</t>
  </si>
  <si>
    <t>PRIMÄR ENERGIKÄLLA</t>
  </si>
  <si>
    <t>ΠΗΓΗ ΠΡΩΤΟΓΕΝΟΥΣ ΕΝΕΡΓΕΙΑΣ</t>
  </si>
  <si>
    <t>FONTE DE ENERGIA PRIMÁRIA</t>
  </si>
  <si>
    <t>PRIMARY ENERGY SOURCE</t>
  </si>
  <si>
    <t>Lõplik energiatarve</t>
  </si>
  <si>
    <t>Endelige energiefterspørgsel</t>
  </si>
  <si>
    <t>Slutligt energibehov</t>
  </si>
  <si>
    <t>Τελική ζήτηση ενέργειας</t>
  </si>
  <si>
    <t>Procura de energia final</t>
  </si>
  <si>
    <t>Final energy demand</t>
  </si>
  <si>
    <t>Soojus jahutuseks</t>
  </si>
  <si>
    <t>Varme konverteret til kulde</t>
  </si>
  <si>
    <t>Värmekonvertering till kyla</t>
  </si>
  <si>
    <t>Μετετροπή θέρμότητας σε ψύξη</t>
  </si>
  <si>
    <t>Conversão de calor para frio</t>
  </si>
  <si>
    <t>Heat conversion to cold</t>
  </si>
  <si>
    <t>Elekter jahutuseks</t>
  </si>
  <si>
    <t>Elektricitet konverteret til kulde</t>
  </si>
  <si>
    <t>Elkonvertering till kyla</t>
  </si>
  <si>
    <t>Μετετροπή ηλεκτρικής ενέργειας σε ψύξη</t>
  </si>
  <si>
    <t>Conversão de electricidade para frio</t>
  </si>
  <si>
    <t>Electricity conversion to cold</t>
  </si>
  <si>
    <t>TEISENE ENERGIA MUUNDAMINE</t>
  </si>
  <si>
    <t>SEKUNDÆR energiomsætning</t>
  </si>
  <si>
    <t>SEKUNDÄR ENERGIOMVANDLING</t>
  </si>
  <si>
    <t>ΜΕΤΑΤΡΟΠΗ ΔΕΥΤΕΡΟΓΕΝΟΥΣ ΕΝΕΡΓΕΙΑΣ</t>
  </si>
  <si>
    <t>CONVERSÃO DE ENERGIA SECUNDÁRIA</t>
  </si>
  <si>
    <t>SECONDARY ENERGY CONVERSION</t>
  </si>
  <si>
    <t>Jaotamine , kaod ja sisetarbimine</t>
  </si>
  <si>
    <t>Distributionstab og ejetforbrug</t>
  </si>
  <si>
    <t>Distributionsförluster och egen konsumtion</t>
  </si>
  <si>
    <t>Αυτο-κατανάλωση και απώλειες διανομής</t>
  </si>
  <si>
    <t>Reeksport ja välistarbimine</t>
  </si>
  <si>
    <t xml:space="preserve">Reeksporter og eksterne forbrug </t>
  </si>
  <si>
    <t>Återexport och extern konsumtiom</t>
  </si>
  <si>
    <t>Επανεξαγωγή και εξωτερική κατανάλωση</t>
  </si>
  <si>
    <t>Reexportação e consumos externos</t>
  </si>
  <si>
    <t>Reexportation and external consumption</t>
  </si>
  <si>
    <t>Energiaeksport</t>
  </si>
  <si>
    <t>Eksport fra ø</t>
  </si>
  <si>
    <t>Export från ön</t>
  </si>
  <si>
    <t>Εξαγωγές από το νησί</t>
  </si>
  <si>
    <t>Exportação da ilha</t>
  </si>
  <si>
    <t>Export from island</t>
  </si>
  <si>
    <t>Energiaimport</t>
  </si>
  <si>
    <t>Import til ø</t>
  </si>
  <si>
    <t>Import till ön</t>
  </si>
  <si>
    <t>Εισαγωγές στο νησί</t>
  </si>
  <si>
    <t>Importação para a ilha</t>
  </si>
  <si>
    <t>Import to island</t>
  </si>
  <si>
    <t>Välisühendus</t>
  </si>
  <si>
    <t>Extern anslutning</t>
  </si>
  <si>
    <t>Εξωτερική σύνδεση</t>
  </si>
  <si>
    <t>Energia salvestist</t>
  </si>
  <si>
    <t>Output fra lageret</t>
  </si>
  <si>
    <t>Δεδομένα παραγωγής από την αποθήκευση</t>
  </si>
  <si>
    <t>Saída do armazenamento</t>
  </si>
  <si>
    <t>Output from storage</t>
  </si>
  <si>
    <t>Energia salvestamiseks</t>
  </si>
  <si>
    <t>Input til opbevaring</t>
  </si>
  <si>
    <t>Δεδομένα εισαγωγής στην αποθήκευση</t>
  </si>
  <si>
    <t>Entrada para armazenamento</t>
  </si>
  <si>
    <t>Input to storage</t>
  </si>
  <si>
    <t>Salvestamine</t>
  </si>
  <si>
    <t>Opbevaring</t>
  </si>
  <si>
    <t>ENERGIAVOOD</t>
  </si>
  <si>
    <t>ENERGI STRØMME</t>
  </si>
  <si>
    <t>ENERGIFLÖDEN</t>
  </si>
  <si>
    <t>ΕΝΕΡΓΕΙΑΚΕΣ ΡΟΕΣ</t>
  </si>
  <si>
    <t>FLUXOS ENERGÉTICOS</t>
  </si>
  <si>
    <t>ENERGY FLUXES</t>
  </si>
  <si>
    <t>ENERGIA MUUNDAMISE EFEKTIIVSUS</t>
  </si>
  <si>
    <t>Energikonverterings effektivitet</t>
  </si>
  <si>
    <t>ENERGIOMVANDLINGSEFFEKTIVITET</t>
  </si>
  <si>
    <t>ΑΠΟΔΟΣΗ ΜΕΤΑΤΡΟΠΗΣ ΕΝΕΡΓΕΙΑΣ</t>
  </si>
  <si>
    <t>EFICIÊNCIA DA CONVERSÃO DE ENERGIA</t>
  </si>
  <si>
    <t>ENERGY CONVERSION EFFICIENCY</t>
  </si>
  <si>
    <t>Kadude teisendamine primaarenergiast sekundaarseks energiaks</t>
  </si>
  <si>
    <t>Konverterings tab fra primær til sekundær energi</t>
  </si>
  <si>
    <t>Omvandlingsförluster från primär till sekundär energi</t>
  </si>
  <si>
    <t>Απώλειες μετατροπής από πρωτογενή σε δευτερογενή ενέργιεα</t>
  </si>
  <si>
    <t>Perdas de conversão de energia primária em energia secundária</t>
  </si>
  <si>
    <t>Conversion losses from primary to secondary energy</t>
  </si>
  <si>
    <t>PRIMAARENERGIA TEISENDATUD TEISESEKS ENERGIAKS (primaarenergia tarbimine)</t>
  </si>
  <si>
    <t>PRIMÆR ENERGI, der omdannes til SEKUNDÆR ENERGI (primære energiforbrug)</t>
  </si>
  <si>
    <t>PRIMÄR ENERGI OMVANDLAD TILL SEKUNDÄR ENERGI (primär energikonsumtion)</t>
  </si>
  <si>
    <t>ΠΡΩΤΟΓΕΝΗΣ ΕΝΕΡΓΕΙΑ ΠΟΥ ΜΕΤΑΤΡΑΠΗΚΕ ΣΕ ΔΕΥΤΕΡΟΓΕΝΗ ΕΝΕΡΓΕΙΑ (πρωτογενής κατανάλωση ενέργειας)</t>
  </si>
  <si>
    <t>ENERGIA PRIMÁRIA CONVERTIDA EM ENERGIA SECUNDÁRIA (consumo de energia primária)</t>
  </si>
  <si>
    <t>PRIMARY ENERGY CONVERTED TO SECONDARY ENERGY (primary energy consumption)</t>
  </si>
  <si>
    <t>Külm</t>
  </si>
  <si>
    <t>Kulde</t>
  </si>
  <si>
    <t xml:space="preserve">Ψύξη </t>
  </si>
  <si>
    <t>Frio</t>
  </si>
  <si>
    <t>Cold</t>
  </si>
  <si>
    <t>Soojus</t>
  </si>
  <si>
    <t>Varme</t>
  </si>
  <si>
    <t>Värme</t>
  </si>
  <si>
    <t>Θέρμανση</t>
  </si>
  <si>
    <t>Calor</t>
  </si>
  <si>
    <t>Heat</t>
  </si>
  <si>
    <t>Elekter</t>
  </si>
  <si>
    <t>Elektricitet</t>
  </si>
  <si>
    <t>Ηλεκτρισμός</t>
  </si>
  <si>
    <t>Electricidade</t>
  </si>
  <si>
    <t>Electricity</t>
  </si>
  <si>
    <t>Energiatoode</t>
  </si>
  <si>
    <t>Energi produkt</t>
  </si>
  <si>
    <t>Energiprodukt</t>
  </si>
  <si>
    <t>Ενεργειακό προϊόν</t>
  </si>
  <si>
    <t>Produto energético</t>
  </si>
  <si>
    <t>Energy product</t>
  </si>
  <si>
    <t>ENERGIA ALLIKAS</t>
  </si>
  <si>
    <t>ENERGI KILDE</t>
  </si>
  <si>
    <t>ENERGIKÄLLA</t>
  </si>
  <si>
    <t>ΠΗΓΗ ΕΝΕΡΓΕΙΑΣ</t>
  </si>
  <si>
    <t>FONTE DE ENERGIA</t>
  </si>
  <si>
    <t>ENERGY SOURCE</t>
  </si>
  <si>
    <t>TOOTEV SEKTOR</t>
  </si>
  <si>
    <t>PRODUKTION SEKTOR</t>
  </si>
  <si>
    <t>PRODUKTIONSSEKTOR</t>
  </si>
  <si>
    <t>ΤΟΜΕΑΣ ΠΑΡΑΓΩΓΗΣ</t>
  </si>
  <si>
    <t>SECTOR DE PRODUÇÃO</t>
  </si>
  <si>
    <t>PRODUCTION SECTOR</t>
  </si>
  <si>
    <t>TEISENE ENERGIA TOOTMINE JA ENERIAVOOD</t>
  </si>
  <si>
    <t>Sekundære energiproduktion og energi strømme</t>
  </si>
  <si>
    <t>ΔΕΥΤΕΡΟΓΕΝΗΣ ΠΑΡΑΓΩΓΗ ΕΝΕΡΓΕΙΑΣ ΚΑΙ ΕΝΕΡΓΕΙΑΚΕΣ ΡΟΕΣ</t>
  </si>
  <si>
    <t>KOKKU SISETURU TARBEKS</t>
  </si>
  <si>
    <t>TOTAL FOR DET INDRE MARKED</t>
  </si>
  <si>
    <t>ΣΥΝΟΛΟ ΓΙΑ ΕΣΩΤΕΡΙΚΗ ΑΓΟΡΑ</t>
  </si>
  <si>
    <t>TOTAL PARA MERCADO INTERNO</t>
  </si>
  <si>
    <t>TOTAL FOR INTERNAL MARKET</t>
  </si>
  <si>
    <t>Taastuvad energiaallikad</t>
  </si>
  <si>
    <t>Vedvarende energikilder</t>
  </si>
  <si>
    <t>Ανανεώσιμες πηγές ενέργειας</t>
  </si>
  <si>
    <t>Fontes energéticas renováveis</t>
  </si>
  <si>
    <t>Renewable energy sources</t>
  </si>
  <si>
    <t>Taastuvenergia allikad (tootjad, kes on ühendatud avalike võrkudega)</t>
  </si>
  <si>
    <t>Vedvarende energikilder (fra systemer tilsluttet offentlige netværk)</t>
  </si>
  <si>
    <t>Ανανεώσιμες πηγές ενέργειας (από συστήματα συνδεδεμάνα στα δημόσια δίκτυα)</t>
  </si>
  <si>
    <t>Fontes energéticas renováveis (de sistemas ligados a redes públicas)</t>
  </si>
  <si>
    <t>Renewable energy sources (from systems connected to public networks)</t>
  </si>
  <si>
    <t>Muud (arvamaks maha saare energiabilansist)</t>
  </si>
  <si>
    <t>Andre (skal udelukkes i øens energibalance)</t>
  </si>
  <si>
    <t>Άλλο (ώστε να εξαιρεθεί από το ενεργειακό ισοζύγιο του νησιού)</t>
  </si>
  <si>
    <t>Outros (para excluir do balanço energético da ilha)</t>
  </si>
  <si>
    <t>Other (to exclude in the island energy balance)</t>
  </si>
  <si>
    <t>Tegevused, mis on seotud intensiivse energia ekspordiga (selleks, et neid saarte energiabilansist maha arvata)</t>
  </si>
  <si>
    <t>Aktiviteter med intensiv brug af energi til eksport (skal udelukkes i øens energibalance)</t>
  </si>
  <si>
    <t>Δραστηριότητες με εντατική χρήση εξαγώγιμης ενέργειας (ώστε να εξαιρεθεί από το ενεργειακό ισοζύγιο του νησιού)</t>
  </si>
  <si>
    <t>Actividades consumidoras intensivas de energia para exportação (para excluir do balanço energético da ilha)</t>
  </si>
  <si>
    <t>Activities with intensive use of energy for exportation (to exclude in the island energy balance)</t>
  </si>
  <si>
    <t>Reeksport (laevad, lennukid, vabamajandustsoonid, rahvuslikud ja rahvusvahelised sõjaväebaasid)</t>
  </si>
  <si>
    <t>Reeksporter (skibe, fly, industrielle frizoner, nationale og internationale militære installationer, osv.)</t>
  </si>
  <si>
    <t>Επανεξαγωγή (πλοία, αεροπλάνα, βιομηχανικές ελεύθερες ζώνες,εθνικές και διεθνείς στρατιωτικές εγκαταστάσεις, κλπ.)</t>
  </si>
  <si>
    <t>Reexportação (navios, aviões, zonas francas industriais, bases militares nacionais ou internacionais, etc.)</t>
  </si>
  <si>
    <t>Reexportation (ships, airplanes, industrial free zones, national and international militar installations, etc.)</t>
  </si>
  <si>
    <t>Kaubavedu maanteedel</t>
  </si>
  <si>
    <t>Vesivarustus, kanalisatsioon, heitvee töötlemine ja taaskasutusega seotud tegevused</t>
  </si>
  <si>
    <t>Vandforsyning, kloakvæsen, affaldshåndtering og rensning af aktiviteter</t>
  </si>
  <si>
    <t>Captação, tratamento e distribuição de água; saneamento, gestão de resíduos
e despoluição</t>
  </si>
  <si>
    <t>Tööstus</t>
  </si>
  <si>
    <t>Produktion - Fremstillingsvirksomhed</t>
  </si>
  <si>
    <t>LÄBIVIIDAVATE TEGEVUSTE KIRJELDUSED</t>
  </si>
  <si>
    <t>BESKRIVELSER AF IMPLEMENTERBARE HANDLINGER</t>
  </si>
  <si>
    <t>BESKRIVNING AV ÅTGÄRDER FÖR GENOMFÖRANDE</t>
  </si>
  <si>
    <t>ΠΕΡΙΓΡΑΦΗ ΔΡΑΣΕΩΝ ΠΡΟΣ ΕΦΑΡΜΟΓΗ</t>
  </si>
  <si>
    <t>DESCRIÇÃO DAS ACÇÕES A IMPLEMENTAR</t>
  </si>
  <si>
    <t>DESCRIPTION OF ACTIONS TO IMPLEMENT</t>
  </si>
  <si>
    <t>LÕPLIK ENERGIATARVE</t>
  </si>
  <si>
    <t>ENDELIG ENERGIEFTERSPØRGSEL</t>
  </si>
  <si>
    <t>SLUTLIGT ENERGIBEHOV</t>
  </si>
  <si>
    <t>ΤΕΛΙΚΗ ΖΉΤΗΣΗ ΕΝΕΡΓΕΙΑΣ</t>
  </si>
  <si>
    <t>PROCURA DE ENERGIA FINAL</t>
  </si>
  <si>
    <t>FINAL ENERGY DEMAND</t>
  </si>
  <si>
    <t>Emissioonitegurite eluea analüüs</t>
  </si>
  <si>
    <t xml:space="preserve">Life Cicle Analyse (LCA) emissionsfaktorer </t>
  </si>
  <si>
    <t>Συντελεστές ΑΚΖ (Ανάλυση Κύκλου Ζωής)</t>
  </si>
  <si>
    <t>Factores de emissão com Análise do Ciclo de Vida (LCA)</t>
  </si>
  <si>
    <t>Life Cicle Analysis (LCA) emission factors</t>
  </si>
  <si>
    <t>IPCC emissioonitegurid</t>
  </si>
  <si>
    <t>IPCC emissionsfaktorer</t>
  </si>
  <si>
    <t>Συντελεστές εκπομπών IPCC</t>
  </si>
  <si>
    <t>Factores de emissão IPCC</t>
  </si>
  <si>
    <t>IPCC emission factors</t>
  </si>
  <si>
    <t>CO2 emissioonide arvutamise meetod</t>
  </si>
  <si>
    <t>CO2 beregningsmetode</t>
  </si>
  <si>
    <t>Μέθοδος υπολογισμού CO2</t>
  </si>
  <si>
    <t>Método de cálculo de CO2</t>
  </si>
  <si>
    <t>CO2 calculation method</t>
  </si>
  <si>
    <t>Aasta</t>
  </si>
  <si>
    <t>År</t>
  </si>
  <si>
    <t>Έτος</t>
  </si>
  <si>
    <t>Ano</t>
  </si>
  <si>
    <t>Year</t>
  </si>
  <si>
    <t>Saar</t>
  </si>
  <si>
    <t>Ø</t>
  </si>
  <si>
    <t>Ö</t>
  </si>
  <si>
    <t>Νησί</t>
  </si>
  <si>
    <t>Ilha</t>
  </si>
  <si>
    <t>Island</t>
  </si>
  <si>
    <t>CO2 emissioonide arvutamiseks siseta sobiv tegur</t>
  </si>
  <si>
    <t>For at indsætte CO2-emmisionsfaktorer for beregning af emissioner.</t>
  </si>
  <si>
    <t>Για να εισαγάγετε συντελεστές εκπομπών CO2 για τον υπολογισμό των εκπομπών</t>
  </si>
  <si>
    <t>Kasutatakse tabelite tõlkimiseks</t>
  </si>
  <si>
    <t>Har til formål at muliggøre oversættelse af tabeller</t>
  </si>
  <si>
    <t>Έχει ως στόχο να καταστεί δυνατή η μετάφραση των πινάκων.</t>
  </si>
  <si>
    <t>Tem por objectivo permitir a tradução das tabelas.</t>
  </si>
  <si>
    <t>Is intended to enable the translation of the tables.</t>
  </si>
  <si>
    <t>Sisukord</t>
  </si>
  <si>
    <t>Indhold</t>
  </si>
  <si>
    <t>Innehåll</t>
  </si>
  <si>
    <t>Περιεχόμενα</t>
  </si>
  <si>
    <t>Conteúdo</t>
  </si>
  <si>
    <t>Contents</t>
  </si>
  <si>
    <t>Leht</t>
  </si>
  <si>
    <t>Ark</t>
  </si>
  <si>
    <t>Blad</t>
  </si>
  <si>
    <t>Καρτέλα</t>
  </si>
  <si>
    <t>Folha</t>
  </si>
  <si>
    <t>Sheet</t>
  </si>
  <si>
    <t>Overall strategy</t>
  </si>
  <si>
    <t>Baseline emission inventory</t>
  </si>
  <si>
    <t>ISEAP</t>
  </si>
  <si>
    <t>Baseline year</t>
  </si>
  <si>
    <t>Ano base</t>
  </si>
  <si>
    <t>CO2</t>
  </si>
  <si>
    <t>CO2eq</t>
  </si>
  <si>
    <t>[t CO2]</t>
  </si>
  <si>
    <t>[t CO2/MWh]</t>
  </si>
  <si>
    <t>[t CO2eq]</t>
  </si>
  <si>
    <t>[t CO2eq/MWh]</t>
  </si>
  <si>
    <t>[τόνοι CO2]</t>
  </si>
  <si>
    <t>[τόνοι CO2eq]</t>
  </si>
  <si>
    <t>[τόνοι CO2/MWh]</t>
  </si>
  <si>
    <t>[τόνοι CO2eq/MWh]</t>
  </si>
  <si>
    <t>Language</t>
  </si>
  <si>
    <t>Idioma</t>
  </si>
  <si>
    <t>AVISO LEGAL: O conteúdo informativo deste documento é da inteira responsabilidade dos seus autores e não reflecte necessariamente a opinião das Comunidades Europeias. A Comissão Europeia não é responsável por qualquer uso que venha a ser dado às informações contidas neste documento.</t>
  </si>
  <si>
    <t>DISCLAIMER: The sole responsibility for the content of this document lies with the authors. It does not necessarily reflect the opinion of the European Communities. The European Commission is not responsible for any use that may be made of the information contained therein.</t>
  </si>
  <si>
    <t xml:space="preserve">                               www.islepact.pt</t>
  </si>
  <si>
    <t xml:space="preserve">                                 www.islepact.pt</t>
  </si>
  <si>
    <t>Please select the corresponding box</t>
  </si>
  <si>
    <t>Por favor escolha a opção pretendida</t>
  </si>
  <si>
    <t>GENERAL DATA</t>
  </si>
  <si>
    <t>DADOS GERAIS</t>
  </si>
  <si>
    <t>Number of inhabitants</t>
  </si>
  <si>
    <t>Número de habitantes</t>
  </si>
  <si>
    <t>RESULTS OF EMISSION INVENTORY</t>
  </si>
  <si>
    <t>RESULTADOS DO INVENTÁRIO DE EMISSÕES</t>
  </si>
  <si>
    <t>RESULTADOS DO BALANÇO ENERGÉTICO</t>
  </si>
  <si>
    <t>TITLE OF ISLAND SUSTAINABLE ENERGY ACTION PLAN</t>
  </si>
  <si>
    <t>TÍTULO DO PLANO DE ACÇÃO PARA A ENERGIA SUSTENTÁVEL</t>
  </si>
  <si>
    <t>SAARE SÄÄSTVA ENERGIA TEGEVUSPLAANI PEALKIRI</t>
  </si>
  <si>
    <t>KEY ELEMENTS OF ISLAND SUSTAINABLE ENERGY ACTION PLAN</t>
  </si>
  <si>
    <t>ELEMENTOS PRINCIPAIS DO PLANO DE ACÇÃO PARA A ENERGIA SUSTENTÁVEL</t>
  </si>
  <si>
    <t>SAARE SÄÄSTVA ENERGIA TEGEVUSPLAANI VÕTME-ELEMENDID</t>
  </si>
  <si>
    <t>WEBSITE</t>
  </si>
  <si>
    <t>HEMSIDEADRESS</t>
  </si>
  <si>
    <t>WEBADRESSE</t>
  </si>
  <si>
    <t>KODULEHEKÜLJE AADRESS</t>
  </si>
  <si>
    <t>RESULTS OF ENERGY BALANCE</t>
  </si>
  <si>
    <t>[%]</t>
  </si>
  <si>
    <t>PLAN EMISSION INVENTORY IN 2020 (implementing sustainable energy actions)</t>
  </si>
  <si>
    <t>INVENTÁRIO DE EMISSÕES DO PLANO EM 2020 (com implementação das acções para a energia sustentável)</t>
  </si>
  <si>
    <t>Plan emission inventory in 2020</t>
  </si>
  <si>
    <t>To insert CO2 emission factors for calculating emissions.</t>
  </si>
  <si>
    <t>Para inserir os factores de emissão de CO2 para o cálculo das emissões.</t>
  </si>
  <si>
    <t>To establish ISEAP targets, long-term vision and organizational and financial aspects.</t>
  </si>
  <si>
    <t>Para establecer as metas do ISEAP, a visão a longo prazo e os aspectos oganizacionais e de financiamento.</t>
  </si>
  <si>
    <t>Para apresentar o balanço energético do ano base e o inventário de emissões de CO2.</t>
  </si>
  <si>
    <t>To present the baseline energy balance and CO2 emissions inventory.</t>
  </si>
  <si>
    <t>To present the plan energy balance in 2020 and CO2 emissions inventory.</t>
  </si>
  <si>
    <t>Para apresentar o balanço energético do plano em 2020 e o inventário de emissões de CO2.</t>
  </si>
  <si>
    <t>To present the list of energy sustainable actions, the investment and reduction of CO2 emissions.</t>
  </si>
  <si>
    <t>Para apresentar a lista das acções para a energia sustentável, os investimentos e a redução das emissões de CO2.</t>
  </si>
  <si>
    <t>or</t>
  </si>
  <si>
    <t>ou</t>
  </si>
  <si>
    <t>Target not achieved</t>
  </si>
  <si>
    <t>Meta não atingida</t>
  </si>
  <si>
    <t>RESIDENTIAL</t>
  </si>
  <si>
    <t>RESIDENCIAL</t>
  </si>
  <si>
    <t>ΚΑΤΟΙΚΊΕΣ</t>
  </si>
  <si>
    <t>BOSTÄDER</t>
  </si>
  <si>
    <t>PRIVAT BOLIG</t>
  </si>
  <si>
    <t>ELAMU</t>
  </si>
  <si>
    <t>PRIMARY SECTOR</t>
  </si>
  <si>
    <t>SECTOR PRIMÁRIO</t>
  </si>
  <si>
    <t>ΠΡΩΤΟΓΕΝΉΣ ΤΟΜΈΑΣ</t>
  </si>
  <si>
    <t>BASNÄRINGAR</t>
  </si>
  <si>
    <t>PRIMÆR SEKTOR</t>
  </si>
  <si>
    <t>PRIMAARSEKTOR</t>
  </si>
  <si>
    <t>SECONDARY SECTOR</t>
  </si>
  <si>
    <t>SECTOR SECUNDÁRIO</t>
  </si>
  <si>
    <t>ΔΕΥΤΕΡΟΓΕΝΉΣ ΤΟΜΈΑΣ</t>
  </si>
  <si>
    <t>TILLVERKNINGSSEKTORN</t>
  </si>
  <si>
    <t>SEKUNDÆR SEKTOR</t>
  </si>
  <si>
    <t>SEKUNDAARSEKTOR</t>
  </si>
  <si>
    <t>TERTIARY SECTOR</t>
  </si>
  <si>
    <t>SECTOR TERCIÁRIO</t>
  </si>
  <si>
    <t>ΤΡΙΤΟΓΕΝΉΣ ΤΟΜΈΑΣ</t>
  </si>
  <si>
    <t>TJÄNSTESEKTORN</t>
  </si>
  <si>
    <t>TERTIÆRE SEKTOR</t>
  </si>
  <si>
    <t>TERTSIAALSEKTOR</t>
  </si>
  <si>
    <t>TRANSPORTS</t>
  </si>
  <si>
    <t>TRANSPORTES</t>
  </si>
  <si>
    <t>ΜΕΤΑΦΟΡΈΣ</t>
  </si>
  <si>
    <t>TRANSPORTER</t>
  </si>
  <si>
    <t>TRANSPORT</t>
  </si>
  <si>
    <t>OVERALL CO2 EMISSION REDUCTION TARGET BY 2020</t>
  </si>
  <si>
    <t>META GLOBAL DE REDUÇÃO DAS EMISSÕES DE CO2 EM 2020</t>
  </si>
  <si>
    <t>LONG-TERM VISION OF YOUR LOCAL AUTHORITY (please include priority areas, main trends and challenges)</t>
  </si>
  <si>
    <t>VISÃO A LONGO PRAZO DA AUTORIDADE LOCAL (incluir áreas prioritária, principais tendências e desafios)</t>
  </si>
  <si>
    <t>ORGANISATIONAL AND FINANCIAL ASPECTS</t>
  </si>
  <si>
    <t>ASPECTOS ORGANIZACIONAIS E FINANCEIROS</t>
  </si>
  <si>
    <t xml:space="preserve">Go to the next sheet dedicated to your Baseline Emission Inventory </t>
  </si>
  <si>
    <t xml:space="preserve">Continue na próxima página dedicada ao Inventário de Emissões do ano Base </t>
  </si>
  <si>
    <t xml:space="preserve">Go to the next sheet dedicated to your Emission Inventory in 2020 </t>
  </si>
  <si>
    <t xml:space="preserve">Continue na próxima página dedicada ao Inventário de Emissões em 2020 </t>
  </si>
  <si>
    <t xml:space="preserve">Go to the next sheet dedicated to your Island Sustainable Energy Action Plan </t>
  </si>
  <si>
    <t xml:space="preserve">Continue na próxima página dedicada ao Plano de Acção para a Energia Sustentável </t>
  </si>
  <si>
    <t>Keel</t>
  </si>
  <si>
    <t>Emissioonide aruandluse ühik</t>
  </si>
  <si>
    <t>Baasaasta</t>
  </si>
  <si>
    <t>Γλώσσα</t>
  </si>
  <si>
    <t>Έτος αναφοράς</t>
  </si>
  <si>
    <t>Μονάδες αναφοράς εκπομπών</t>
  </si>
  <si>
    <t xml:space="preserve">Ορισμός στόχων ΝΣΔΑΕ, μακροπρόθεσμο όραμα και οργανωτικές και οικονομικές παράμετροι </t>
  </si>
  <si>
    <t>Παρουσίαση ενεργειακού ισοζυγίου και απογραφής εκπομπών CO2 αναφοράς</t>
  </si>
  <si>
    <t>Παρουσίαση ενεργειακού ισοζυγίου και απογραφής εκπομπών CO2 σχεδίου το 2020</t>
  </si>
  <si>
    <t>Παρουσίαση λίστας δράσεων αειφόρου ενέργειας, επένδυσης και μείωσης εκπομπών CO2</t>
  </si>
  <si>
    <t>ΣΥΝΟΛΙΚΗ ΣΤΡΑΤΗΓΙΚΗ</t>
  </si>
  <si>
    <t>ΣΥΝΟΛΙΚΟΣ ΣΤΟΧΟΣ ΜΕΙΩΣΗΣ ΕΚΠΟΜΠΩΝ CO2 ΕΩΣ ΤΟ 2020</t>
  </si>
  <si>
    <t>Παρακαλώ επιλέξτε το αντίστοιχο τετραγωνίδιο</t>
  </si>
  <si>
    <t>Απόλυτη μείωση</t>
  </si>
  <si>
    <t>ή</t>
  </si>
  <si>
    <t>Κατά κεφαλή μείωση</t>
  </si>
  <si>
    <t>Μη επίτευξη στόχου</t>
  </si>
  <si>
    <t>ΜΑΚΡΟΠΡΟΘΕΣΜΟ ΟΡΑΜΑ ΤΟΥ ΟΡΓΑΝΙΣΜΟΥ ΤΟΠΙΚΗΣ ΑΥΤΟΔΙΟΙΚΗΣΗΣ (παρακαλώ να συμπεριληφθούν οι τομείς προτεραιότητας, οι κύριες τάσεις και προκλήσεις)</t>
  </si>
  <si>
    <t>ΣΥΝΤΟΝΙΣΤΙΚΕΣ ΚΑΙ ΟΡΓΑΝΩΤΙΚΕΣ ΔΟΜΕΣ</t>
  </si>
  <si>
    <t>Συντονιστικές και οργανωτικές δομές που συγκροτήθηκαν/εκχωρήθηκαν</t>
  </si>
  <si>
    <t>Προσωπικό που διατέθηκε</t>
  </si>
  <si>
    <t>Συμμετοχή ενδιαφερόμενων φορέων και πολιτών</t>
  </si>
  <si>
    <t>Συνολικός εκτιμώμενος προϋπολογισμός</t>
  </si>
  <si>
    <t>Προβλεπόμενες πηγές χρηματοδότησης για τις επενδύσεις στο πλαίσιο του σχεδίου δράσης</t>
  </si>
  <si>
    <t>Προγραμματισμένα μέτρα για την παρακολούθηση και τη συνέχεια</t>
  </si>
  <si>
    <t>Συνεχίστε στην επόμενη σελίδα η οποία αφορά την απογραφή εκπομπών αναφοράς</t>
  </si>
  <si>
    <t>ΑΠΟΓΡΑΦΗ ΕΚΠΟΜΠΩΝ ΑΝΑΦΟΡΑΣ</t>
  </si>
  <si>
    <t>ΓΕΝΙΚΑ ΣΤΟΙΧΕΙΑ</t>
  </si>
  <si>
    <t>Έτος απογραφής</t>
  </si>
  <si>
    <t>Αριθμός κατοίκων</t>
  </si>
  <si>
    <t>ΑΠΟΤΕΛΕΣΜΑΤΑ ΕΝΕΡΓΕΙΑΚΟΥ ΙΣΟΖΥΓΙΟΥ</t>
  </si>
  <si>
    <t>ΑΠΟΤΕΛΕΣΜΑΤΑ ΑΠΟΓΡΑΦΗΣ ΕΚΠΟΜΠΩΝ</t>
  </si>
  <si>
    <t>Συνεχίστε στην επόμενη σελίδα η οποία αφορά την απογραφή εκπομπών το έτος 2020</t>
  </si>
  <si>
    <t>ΑΠΟΓΡΑΦΗ ΕΚΠΟΜΠΩΝ ΣΧΕΔΙΟΥ ΤΟ 2020 (εφαρμόζοντας δράσεις αειφόρου ενέργειας)</t>
  </si>
  <si>
    <t>Συνεχίστε στην επόμενη σελίδα η οποία αφορά το Νησιωτικό Σχέδιο Δράσης για την Αειφόρο Ενέργεια</t>
  </si>
  <si>
    <t>ΤΙΛΟΣ ΝΗΣΙΩΤΙΚΟΥ ΣΧΕΔΙΟΥ ΔΡΑΣΗΣ ΓΙΑ ΤΗΝ ΑΕΙΦΟΡΟ ΕΝΕΡΓΕΙΑ</t>
  </si>
  <si>
    <t>ΒΑΣΙΚΑ ΣΤΟΙΧΕΙΑ ΝΗΣΙΩΤΙΚΟΥ ΣΧΕΔΙΟΥ ΔΡΑΣΗΣ ΓΙΑ ΤΗΝ ΑΕΙΦΟΡΟ ΕΝΕΡΓΕΙΑ</t>
  </si>
  <si>
    <t>ΔΙΕΥΘΥΝΣΗ ΙΣΤΟΣΕΛΙΔΑΣ</t>
  </si>
  <si>
    <t xml:space="preserve">                              www.islepact.pt</t>
  </si>
  <si>
    <t>Outras frotas para serviços públicos e privados</t>
  </si>
  <si>
    <t>Transporte particular</t>
  </si>
  <si>
    <t>Increase the use of district heating, biomass and geothermal heatpumps for heating and hot water.</t>
  </si>
  <si>
    <t>Installation of high efficiency lamps, light control sensors and temperature regulators; acquisition of energy efficient appliances; and raise awareness about efficient use of electricity, heat and hot water.</t>
  </si>
  <si>
    <t>Other fleet for public and private services, and private transports</t>
  </si>
  <si>
    <t>Anden vognpark for offentlig og privat tjenester</t>
  </si>
  <si>
    <t>Muu ühis- või eratransporditeenus, eratransport</t>
  </si>
  <si>
    <t>Operators
Citizen</t>
  </si>
  <si>
    <t>Local production of pellets and wood bricks.</t>
  </si>
  <si>
    <t>Increase the use of district heating, biomass (firewood, pellets and wood bricks) and geothermal heatpumps for heating and hot water.</t>
  </si>
  <si>
    <t>Island Sustainable Energy Action Plan of Hiiumaa 2020</t>
  </si>
  <si>
    <t>For monitoring, data will be collected periodically regarding final energy demand, secondary energy production, use of renewable energy and state of implementation of sustainable energy actions.
Based on the information gathered, technical team will prepare an energy balance and an emissions inventory, to verify the progress of the indicators in relation to the objectives and targets set, in order to evaluate the results of the actions implemented.
The consultative committee analyses the indicators concerning the objectives and targets and the progress of the actions, and meet every two years, to discuss the results and the solutions to optimize the implementation of the Sustainable Energy Action Plan.</t>
  </si>
  <si>
    <t>To catalyse the involvement of stakeholders, periodic meetings with the consultative committee will be held, comprising representatives from various sectors of society with a say or interest in the energy area, in order to inform on the actions and the progress of the plan’s implementation, identify existing or possible constraints and analyse measures to optimize the results and correct possible deviations.
To reach a wider public, the media will be used, to date with events, forums and publications, to disseminate information on the actions that constitutes the plan and on the benefits and incentives, raising awareness to the importance of these actions, in the context of local development and the improvement of quality of the environment.</t>
  </si>
  <si>
    <t>Installation of biomass cogeneration power plants in larger settlements (Kärdla, Käina, Kõrgessaare, etc.).</t>
  </si>
  <si>
    <t>Local government</t>
  </si>
  <si>
    <t>Operators
Citizens
Local government</t>
  </si>
  <si>
    <t>Operators
Local government</t>
  </si>
  <si>
    <t>Operators
State government
Local government</t>
  </si>
  <si>
    <t>State government</t>
  </si>
  <si>
    <t>State government
Local government
NGO-s</t>
  </si>
  <si>
    <t>Operators
Local government
NGO-s</t>
  </si>
  <si>
    <t>NGO-s
Local government</t>
  </si>
  <si>
    <t>Operators
NGO-s</t>
  </si>
  <si>
    <t>Education facilities
NGO-s</t>
  </si>
  <si>
    <t xml:space="preserve">Promotion of financing and credit instruments for sustainable energy investments (energy service companies and banks). </t>
  </si>
  <si>
    <t>Steering Committee: Local government leaders.
Consultative Committee: Representatives of stakeholders.</t>
  </si>
  <si>
    <t>Coordination: Hiiumaa County Government.
Technicial staff: Union of Hiiumaa Local Government; local government offices; energy service companies; consultants; builders; etc.</t>
  </si>
  <si>
    <t>The financing sources are:
  - Public national and local funds.
  - Private own funds (companies and citizen).
  - European Investment Bank.
  - Bank loan.
The support instruments are:
  - Incentive Systems.
  - European support programmes.
  - Tax benefits.
  - Special tariffs.</t>
  </si>
  <si>
    <t>ISEAP eesmärkide seadmine, pikaajaline visioon ja organisatsioonilised ning finantsaspektid</t>
  </si>
  <si>
    <t>Baasenergia bilansi ja CO2 emissioonide inventuuri esitamine</t>
  </si>
  <si>
    <t>Plaani esitamine 2020 energiabilansi ja CO2 emissiooni inventuuri kohta</t>
  </si>
  <si>
    <t>Energiat säästvate tegevuste nimekirja, investeeringute ja CO2 emissioonide vähendamise esitamine</t>
  </si>
  <si>
    <t>STRATEEGIA ÜLEVAADE</t>
  </si>
  <si>
    <t>CO2 EMISSIOONIDE VÄHENDAMISE ÜLDINE EESMÄRK 2020</t>
  </si>
  <si>
    <t>Palun vali vastav kast</t>
  </si>
  <si>
    <t>Absoluutne vähenemine</t>
  </si>
  <si>
    <t>või</t>
  </si>
  <si>
    <t>Vähenemine elaniku kohta</t>
  </si>
  <si>
    <t>Eesmärk pole saavutatud</t>
  </si>
  <si>
    <t>KOHALIKU OMAVALITSUSE PIKAAJALINE VISIOON (palun arvesta prioriteetseid valdkondi, peamisi trende ja väljakutseid)</t>
  </si>
  <si>
    <t>ORGANISATSIOONILISED JA FINANTSILISED ASPEKTID</t>
  </si>
  <si>
    <t>Koordineerimine ja loodavad/määratavad organisatsioonilised struktuurid</t>
  </si>
  <si>
    <t>Tööjaotus</t>
  </si>
  <si>
    <t>Huvirühmade ja kodanike kaasatus</t>
  </si>
  <si>
    <t>Hinnanguline eelarve</t>
  </si>
  <si>
    <t>Finantsallikad tegevuskavas nimetatud investeeringute elluviimiseks</t>
  </si>
  <si>
    <t>Planeeritud seiremeetmed ja järeltoimingud</t>
  </si>
  <si>
    <t>Liigu järgmisele leheküljele, millel on sinu baasemissioonide inventuur</t>
  </si>
  <si>
    <t>BAASEMISSIOONIDE INVENTUUR</t>
  </si>
  <si>
    <t>ÜLDISED ANDMED</t>
  </si>
  <si>
    <t>Inventeerimise aasta</t>
  </si>
  <si>
    <t>Elanike arv</t>
  </si>
  <si>
    <t>ENERGIABILANSI TULEMUSED</t>
  </si>
  <si>
    <t>EMISSIOONIDE INVENTEERIMISE TULEMUSED</t>
  </si>
  <si>
    <t>Liigu järgmisele leheküljele, millel on sinu emissioonide inventuur 2020 aastal</t>
  </si>
  <si>
    <t>PLANEERI EMISSIOONIDE INVENTUURI 2020. aastal (energiat säästvate tegevuste elluviimine)</t>
  </si>
  <si>
    <t>Liigu järgmisele leheküljele, millel on sinu saare säästva energia tegevusplaan</t>
  </si>
  <si>
    <t>Reisijatevedu maanteel ja teised maanteetranspordi teenused (ühistransport, takso, turism, koolibussid jne)</t>
  </si>
  <si>
    <t>Planeamento de infraestruturas energéticas</t>
  </si>
  <si>
    <t>Χερσαίες μεταφορές επιβατών και άλλες  οδικές υπηρεσίες μεταφοράς επιβατών (δημόσιες μεταφορές, ταξί, τουρισμός, σχολικά λεωφορεία, κλπ.)</t>
  </si>
  <si>
    <t>Λοιπός στόλος για δημόσιες και ιδιτικές υπηρεσίες</t>
  </si>
  <si>
    <t>Ιδωτικές μεταφορές</t>
  </si>
  <si>
    <t>La tabla de traducción</t>
  </si>
  <si>
    <t>Escriba su código de idioma en una celda de color verde claro, llenar la traducción de cada elemento de la columna de abajo y ponga el código de su idioma en la celda de color azul oscuro de la primera columna:</t>
  </si>
  <si>
    <t>Isla</t>
  </si>
  <si>
    <t>Año</t>
  </si>
  <si>
    <t>Año base</t>
  </si>
  <si>
    <t>Los factores de emisión del IPCC</t>
  </si>
  <si>
    <t>Análisis de Ciclo de Vida (LCA) los factores de emisión</t>
  </si>
  <si>
    <t>Unidades de reporte de emisiones</t>
  </si>
  <si>
    <t>Hoja</t>
  </si>
  <si>
    <t>Contenido</t>
  </si>
  <si>
    <t>Tiene por objeto permitir la traducción de las tablas.</t>
  </si>
  <si>
    <t>Para insertar los factores de emisión de CO2 para el cálculo de las emisiones.</t>
  </si>
  <si>
    <t>Para establecer los objetivos ISEAP, visión a largo plazo y los aspectos organizativos y financieros.</t>
  </si>
  <si>
    <t>Para presentar el balance de energía de base y el inventario de emisiones de CO2.</t>
  </si>
  <si>
    <t>Para presentar el balance de energía del plan en 2020 y el inventario de emisiones de CO2.</t>
  </si>
  <si>
    <t>Para presentar la lista de las acciones de energía sostenible, la inversión y la reducción de las emisiones de CO2.</t>
  </si>
  <si>
    <t>Plan Insular de Acción de Energía Sostenible  (ISEAP)</t>
  </si>
  <si>
    <t>Instrucciones</t>
  </si>
  <si>
    <t>ESTRATEGIA GLOBAL</t>
  </si>
  <si>
    <t>Emisiones globales de CO2 OBJETIVO DE REDUCCIÓN PARA EL 2020</t>
  </si>
  <si>
    <t>Por favor, marque la casilla correspondiente</t>
  </si>
  <si>
    <t>Reducción absoluta</t>
  </si>
  <si>
    <t>o</t>
  </si>
  <si>
    <t>Reducción per capita</t>
  </si>
  <si>
    <t>Objetivo no se logra</t>
  </si>
  <si>
    <t>Visión a largo plazo de su autoridad local (por favor incluya las áreas prioritarias, las principales tendencias y desafíos)</t>
  </si>
  <si>
    <t>ASPECTOS ORGANIZATIVOS Y FINANCIEROS</t>
  </si>
  <si>
    <t>Estructuras de coordinación y de organización creado / asignado</t>
  </si>
  <si>
    <t>La capacidad del personal asignado</t>
  </si>
  <si>
    <t>Participación de los interesados ??y los ciudadanos</t>
  </si>
  <si>
    <t>Presupuesto total estimado</t>
  </si>
  <si>
    <t>fuentes de financiación previstas para las inversiones dentro de su plan de acción</t>
  </si>
  <si>
    <t>Planificación de las medidas de control y seguimiento</t>
  </si>
  <si>
    <t>Ir a la siguiente hoja dedicada a su inventario de emisiones de referencia</t>
  </si>
  <si>
    <t>INVENTARIO DE EMISIONES DE REFERENCIA</t>
  </si>
  <si>
    <t>DATOS GENERALES</t>
  </si>
  <si>
    <t>Inventario del año</t>
  </si>
  <si>
    <t>Los campos obligatorios</t>
  </si>
  <si>
    <t>RESULTADOS DEL BALANCE DE ENERGÍA</t>
  </si>
  <si>
    <t>Demanda final de energía</t>
  </si>
  <si>
    <t>La demanda del sector</t>
  </si>
  <si>
    <t>DESCRIPCIÓN DE LAS ACCIONES A IMPLEMENTAR</t>
  </si>
  <si>
    <t>Descripción del sector</t>
  </si>
  <si>
    <t>Agua caliente</t>
  </si>
  <si>
    <t>SECTOR PRIMARIO</t>
  </si>
  <si>
    <t>Agricultura, silvicultura y pesca</t>
  </si>
  <si>
    <t>Minas y canteras</t>
  </si>
  <si>
    <t>SECTOR SECUNDARIO</t>
  </si>
  <si>
    <t>Fabricación</t>
  </si>
  <si>
    <t>Agua potable, alcantarillado, gestión de residuos y descontaminación</t>
  </si>
  <si>
    <t>Construcción</t>
  </si>
  <si>
    <t>SECTOR TERCIARIO</t>
  </si>
  <si>
    <t>Carreteras urbanas y suburbanas de transporte terrestre de pasajeros</t>
  </si>
  <si>
    <t>Otros servicios de transporte por carretera de pasajeros (taxi, turismo, transporte escolar, etc)</t>
  </si>
  <si>
    <t>Transporte de mercancías por carretera y servicios de mudanza</t>
  </si>
  <si>
    <t>Transporte privado</t>
  </si>
  <si>
    <t>Reexportación (barcos, aviones, zonas francas industriales, nacionales e internacionales instalaciones militar, etc)</t>
  </si>
  <si>
    <t>Actividades con uso intensivo de energía para la exportación (para excluir en el balance energético isla)</t>
  </si>
  <si>
    <t>Otros (para excluir en el balance energético isla)</t>
  </si>
  <si>
    <t>ENERGÍA PARA EL USO FINAL</t>
  </si>
  <si>
    <t>Servicios centralizados de energía</t>
  </si>
  <si>
    <t>La electricidad de la red pública</t>
  </si>
  <si>
    <t>El calor de la calefacción urbana</t>
  </si>
  <si>
    <t>Frío del distrito de refrigeración</t>
  </si>
  <si>
    <t>Los combustibles fósiles</t>
  </si>
  <si>
    <t>GLP</t>
  </si>
  <si>
    <t>Gas natural</t>
  </si>
  <si>
    <t>Carbón</t>
  </si>
  <si>
    <t>Fuentes de energía renovables (excluyendo electricidad y calor vendidos a redes públicas)</t>
  </si>
  <si>
    <t>Las fuentes renovables de energía (de los sistemas conectados a redes públicas)</t>
  </si>
  <si>
    <t>Fuentes de energía renovables</t>
  </si>
  <si>
    <t>Hidráulica</t>
  </si>
  <si>
    <t>Viento</t>
  </si>
  <si>
    <t>Marina</t>
  </si>
  <si>
    <t>Biomasa</t>
  </si>
  <si>
    <t>Residuales urbanas</t>
  </si>
  <si>
    <t>Recuperación de energía</t>
  </si>
  <si>
    <t>Total parcial</t>
  </si>
  <si>
    <t>TOTAL DE MERCADO INTERIOR</t>
  </si>
  <si>
    <t>Total</t>
  </si>
  <si>
    <t>Installation of wind micro-turbines, solar panels and collectors for domestic energy production in remote houses.</t>
  </si>
  <si>
    <t>Introduction of alternative forms of energy (biodiesel, biogas).</t>
  </si>
  <si>
    <t>Extensive usage of solar collectors</t>
  </si>
  <si>
    <t>Operators, Local Government</t>
  </si>
  <si>
    <t>Financial support to infrastructures for sustainable energy, including electric cars charging stations and improvement of electric grid to receive renewable energies.</t>
  </si>
  <si>
    <t>PRODUCCIÓN DE ENERGÍA SECUNDARIA Y FLUJOS DE ENERGÍA</t>
  </si>
  <si>
    <t>PRODUCCIÓN DEL SECTOR</t>
  </si>
  <si>
    <t>FUENTE DE ENERGÍA</t>
  </si>
  <si>
    <t>Productos energéticos</t>
  </si>
  <si>
    <t>Electricidad</t>
  </si>
  <si>
    <t>Frío</t>
  </si>
  <si>
    <t>ENERGÍA PRIMARIA CONVERTIDA EN SECUNDARIA  (consumo de energía primaria)</t>
  </si>
  <si>
    <t>Las pérdidas de conversión de energía primaria a secundaria</t>
  </si>
  <si>
    <t>EFICIENCIA ENERGÉTICA DE CONVERSIÓN</t>
  </si>
  <si>
    <t>Los flujos de energía</t>
  </si>
  <si>
    <t>Almacenamiento</t>
  </si>
  <si>
    <t>De entrada al almacenamiento</t>
  </si>
  <si>
    <t>La salida de almacenamiento</t>
  </si>
  <si>
    <t>Conexión externa</t>
  </si>
  <si>
    <t>Las importaciones a la isla</t>
  </si>
  <si>
    <t>Las exportaciones de la isla</t>
  </si>
  <si>
    <t>Reexportación y el consumo externo</t>
  </si>
  <si>
    <t>Las pérdidas de distribución y para el autoconsumo</t>
  </si>
  <si>
    <t>CONVERSIÓN DE ENERGÍA SECUNDARIA</t>
  </si>
  <si>
    <t>Electricidad conversión al frío</t>
  </si>
  <si>
    <t>Conversión de calor a frío</t>
  </si>
  <si>
    <t>Fuente de energía primaria</t>
  </si>
  <si>
    <t>Demanda de energía primaria</t>
  </si>
  <si>
    <t>Electricidad importada (por cable)</t>
  </si>
  <si>
    <t>Electricidad exportada (por cable)</t>
  </si>
  <si>
    <t>EMISIONES DE CO2</t>
  </si>
  <si>
    <t>EMISIONES DE CO2 DE LA PRODUCCIÓN</t>
  </si>
  <si>
    <t>EMISIONES DE CO2 DE USO FINAL</t>
  </si>
  <si>
    <t>FACTORES DE EMISIÓN DE CO2</t>
  </si>
  <si>
    <t>Las emisiones de CO2 de las instalaciones de ETS en los cálculos para el uso final de energía</t>
  </si>
  <si>
    <t>Las emisiones de CO2 de las instalaciones de ETS en los cálculos para la producción de energía secundaria</t>
  </si>
  <si>
    <t>RESULTADOS DEL INVENTARIO DE EMISIONES</t>
  </si>
  <si>
    <t>Ir a la siguiente hoja dedicada a su inventario de emisiones en 2020</t>
  </si>
  <si>
    <t>PLAN DE INVENTARIO DE EMISIONES EN 2020 (implementación de acciones sostenibles de energía)</t>
  </si>
  <si>
    <t>Ir a la siguiente hoja dedicada a la Isla Sostenible Plan de Acción de Energía</t>
  </si>
  <si>
    <t>TÍTULO DE LA ISLA DE PLAN DE ACCIÓN DE ENERGÍA SOSTENIBLE</t>
  </si>
  <si>
    <t>Fecha de la aprobación formal</t>
  </si>
  <si>
    <t>Autoridad que aprueba el plan</t>
  </si>
  <si>
    <t>ELEMENTOS CLAVES DE LA ISLA DE PLAN DE ACCIÓN DE ENERGÍA SOSTENIBLE</t>
  </si>
  <si>
    <t>SECTORES Y ÁMBITOS DE ACTUACIÓN</t>
  </si>
  <si>
    <t>ACCIONES (Una línea por cada acción - líneas de inserción, si es necesario, excluir las acciones de ETS)</t>
  </si>
  <si>
    <t>RESPONSABLE DE LA APLICACIÓN</t>
  </si>
  <si>
    <t>CALENDARIO DE EJECUCIÓN</t>
  </si>
  <si>
    <t>Año a partir</t>
  </si>
  <si>
    <t>Al cierre del año</t>
  </si>
  <si>
    <t>Costes de inversión [de euros]</t>
  </si>
  <si>
    <t>AHORRO ENERGÉTICO ESPERADO [MWh / año]</t>
  </si>
  <si>
    <t>La producción esperada de energía renovables [MWh / año]</t>
  </si>
  <si>
    <t>Reducción esperada de CO2 [ton / año]</t>
  </si>
  <si>
    <t>ENERGÍA objetivo de ahorro en 2020 [MWh / año]</t>
  </si>
  <si>
    <t>OBJETIVO producción de energías renovables en 2020 [MWh / año]</t>
  </si>
  <si>
    <t>OBJETIVO DE REDUCCIÓN DE CO2 EN 2020 [ton / año]</t>
  </si>
  <si>
    <t>La electricidad (no renovable)</t>
  </si>
  <si>
    <t>Calor (no renovables)</t>
  </si>
  <si>
    <t>Frío (no renovables)</t>
  </si>
  <si>
    <t>Residuos urbanos</t>
  </si>
  <si>
    <t>Planificación Territorial</t>
  </si>
  <si>
    <t>La planificación estratégica regional y local</t>
  </si>
  <si>
    <t>Transportes y planificación de la movilidad</t>
  </si>
  <si>
    <t>Infraestructuras de la planificación energética</t>
  </si>
  <si>
    <t>Planificación territorial del uso de energías renovables</t>
  </si>
  <si>
    <t>CONTRATACIÓN PÚBLICA DE PRODUCTOS Y SERVICIOS</t>
  </si>
  <si>
    <t>Requisitos de eficiencia energética / normas</t>
  </si>
  <si>
    <t>Requerimientos de energía renovable / normas</t>
  </si>
  <si>
    <t>Ciudadanos y agentes</t>
  </si>
  <si>
    <t>Servicios de asesoramiento</t>
  </si>
  <si>
    <t>Apoyo financiero y becas</t>
  </si>
  <si>
    <t>La sensibilización y la creación de redes</t>
  </si>
  <si>
    <t>Formación y educación</t>
  </si>
  <si>
    <t>Monitoreo</t>
  </si>
  <si>
    <t>OTROS SECTORES (especificar)</t>
  </si>
  <si>
    <t>SITIO WEB</t>
  </si>
  <si>
    <t>Enlace directo a la página web dedicada a ISEAP (si existe)</t>
  </si>
  <si>
    <t>DESCARGO DE RESPONSABILIDAD: La responsabilidad por el contenido de este documento corresponde a los autores. No refleja necesariamente la opinión de las Comunidades Europeas. La Comisión Europea no es responsable del uso que pueda hacerse de la información contenida en él.</t>
  </si>
  <si>
    <t>Sprog</t>
  </si>
  <si>
    <t>Basis år</t>
  </si>
  <si>
    <t>Emissions enhed</t>
  </si>
  <si>
    <t>For at etablere ISEAP mål, langsigtet vision,og organisatoriske og finansielle aspekter.</t>
  </si>
  <si>
    <t>For at præsentere basis energibalance og CO2 emissions opgørelse.</t>
  </si>
  <si>
    <t>For at præsentere energibalance planen i 2020 og CO2 emissions opgørelsen.</t>
  </si>
  <si>
    <t>For at præsentere en liste over energi bæredygtige tiltag, investering og reduktion af CO2 emissioner.</t>
  </si>
  <si>
    <t>OVERORDNET STRATEGI</t>
  </si>
  <si>
    <t>OVERORDNET CO2 EMISSIONS REDUKTIONS MÅL I 2020</t>
  </si>
  <si>
    <t>Vælg den tilsvarende boks</t>
  </si>
  <si>
    <t>Absolut reduktion</t>
  </si>
  <si>
    <t>eller</t>
  </si>
  <si>
    <t>Reduktion pr. indbygger</t>
  </si>
  <si>
    <t>Mål ikke opnået</t>
  </si>
  <si>
    <t>LANGTIDS VISION AF DEN LOKALE MYNDIGHED (vedlæg prioriterede områder, vigtigste tendenser og udfordringer).</t>
  </si>
  <si>
    <t>ORGANISATORISKE OG FINANSIELLE ASPEKTER</t>
  </si>
  <si>
    <t>Koordinering og organisatoriske strukturer, der oprettes/ tildeles.</t>
  </si>
  <si>
    <t xml:space="preserve">Tildelt personale kapacitet </t>
  </si>
  <si>
    <t>Involvering af intressenter og borgere</t>
  </si>
  <si>
    <t>Overordnet estimeret budget</t>
  </si>
  <si>
    <t>Planlagte finansieringskilder for investeringer indenfor din handlingsplan</t>
  </si>
  <si>
    <t>Planlagte handlinger for monitorering og opfølgning</t>
  </si>
  <si>
    <t>Gå til det næste ark, der er dedikeret til din basis emissions opgørelse</t>
  </si>
  <si>
    <t>BASIS EMISSIONS OPGØRELSE</t>
  </si>
  <si>
    <t>GENERELLE DATA</t>
  </si>
  <si>
    <t>Opgørelses år</t>
  </si>
  <si>
    <t>Antal indbyggere</t>
  </si>
  <si>
    <t>RESULTAT AF ENERGIBALANCEN</t>
  </si>
  <si>
    <t>Passager vejtransport og anden kollektiv trafik servicer (offentlig transport, taxi, turisme, skolebusser etc.)</t>
  </si>
  <si>
    <t>RESULTAT AF EMISSIONS OPGØRELSEN</t>
  </si>
  <si>
    <t>Gå til det næste ark, der er dedikeret til emissions opgørelse i 2020</t>
  </si>
  <si>
    <t>EMISSIONSOPGØRELSES PLAN 2020 (implementering af bæredygtige energihandlinger)</t>
  </si>
  <si>
    <t>Gå til det næste ark, der er dedikeret til energi handlingsplan for en bæredygtig ø</t>
  </si>
  <si>
    <t>TITEL PÅ ENERGI HANDLINGSPLAN FOR EN BÆREDYGTIG Ø</t>
  </si>
  <si>
    <t>CENTRALE ELEMENTER I ENERGI HANDLINGSPLANEN FOR EN BÆREDYGTIG Ø</t>
  </si>
  <si>
    <t>Planer for energi infrastruktur</t>
  </si>
  <si>
    <t>Vedvarende energiplaner for markanvendelse</t>
  </si>
  <si>
    <t>Monitorering</t>
  </si>
  <si>
    <t>Regler og love</t>
  </si>
  <si>
    <t>TABELLA TRADUZIONI</t>
  </si>
  <si>
    <t>Si prega di riempire la cella verde chiaro con il codice della vostra lingua, inserire la traduzione nella colonna sotto e mettere il codice della vostra lingua nella cella blu scuro della prima colonna:</t>
  </si>
  <si>
    <t>Lingua</t>
  </si>
  <si>
    <t>Isola</t>
  </si>
  <si>
    <t>Anno</t>
  </si>
  <si>
    <t>Anno di riferimento</t>
  </si>
  <si>
    <t>Metodo di calcolo del CO2</t>
  </si>
  <si>
    <t xml:space="preserve">IPCC fattori di emissione </t>
  </si>
  <si>
    <t>Analisi Ciclo Vitale (LCA) dei fattori di emissione</t>
  </si>
  <si>
    <t/>
  </si>
  <si>
    <t>Foglio</t>
  </si>
  <si>
    <t>Contenuti</t>
  </si>
  <si>
    <t>Mira a consentire la traduzione delle tabelle</t>
  </si>
  <si>
    <t>Inserire i fattori di emissione di CO2 per il calcolo delle emissioni</t>
  </si>
  <si>
    <t>Stabilire obiettivi ISEAP, visione a lungo termine e aspetti organizzativi e finanziari.</t>
  </si>
  <si>
    <t xml:space="preserve">Presentare il bilancio energetico di base e l'inventario delle emissioni di CO2. </t>
  </si>
  <si>
    <t xml:space="preserve">Presentare il bilancio energetico del piano nel 2020 e l'inventario delle emissioni di CO2. </t>
  </si>
  <si>
    <t xml:space="preserve">Presentare l'elenco delle azioni per l'energia sostenibile, gli investimenti e la riduzione delle emissioni di CO2. </t>
  </si>
  <si>
    <t>Piano di Azione per l'Energia Sostenibile Insulare (ISEAP)</t>
  </si>
  <si>
    <t>Istruzioni</t>
  </si>
  <si>
    <t>STRATEGIA GENERALE</t>
  </si>
  <si>
    <t>OBIETTIVO GENERALE DI RIDUZIONE DELLE EMISSIONI DI CO2 AL 2020</t>
  </si>
  <si>
    <t>Si prega di selezionare la casella corrispondente</t>
  </si>
  <si>
    <t>Riduzione assoluta</t>
  </si>
  <si>
    <t>oppure</t>
  </si>
  <si>
    <t>Riduzione pro capite</t>
  </si>
  <si>
    <t>Obiettivo non raggiunto</t>
  </si>
  <si>
    <t>VISIONE A LUNGO TERMINE  DELLE AUTORITA' LOCALI (si prega di includere aree prioritarie, principali tendenze e sfide)</t>
  </si>
  <si>
    <t>ASPETTI ORGANIZZATIVI E FINANZIARI</t>
  </si>
  <si>
    <t xml:space="preserve">Strutture di coordinamento e organizzative create/assegnate </t>
  </si>
  <si>
    <t xml:space="preserve">Capacità del personale assegnato </t>
  </si>
  <si>
    <t>Coinvolgimento di cittadini e parti interessate</t>
  </si>
  <si>
    <t>Bilancio toale stimato</t>
  </si>
  <si>
    <t xml:space="preserve">Fonti finanziarie previste per gli investimenti all'interno del vostro piano d'azione </t>
  </si>
  <si>
    <t>Misure previste per monitoraggio e proseguimento</t>
  </si>
  <si>
    <t>Vai alla scheda successiva dedicato all'Inventario delle Emissioni di Base</t>
  </si>
  <si>
    <t>INVENTARIO DELLE EMISSIONI DI BASE</t>
  </si>
  <si>
    <t>DATI GENERALI</t>
  </si>
  <si>
    <t>Anno Inventario</t>
  </si>
  <si>
    <t>Numero abitanti</t>
  </si>
  <si>
    <t>Campi obbligatori</t>
  </si>
  <si>
    <t>RISULTATI DEL BILANCIO ENERGETICO</t>
  </si>
  <si>
    <t>DOMANDA ENERGIA FINALE</t>
  </si>
  <si>
    <t>SETTORE DELLA DOMANDA</t>
  </si>
  <si>
    <t>DESCRIZIONE DELLE AZIONI DA IMPLEMENTARE</t>
  </si>
  <si>
    <t>Descrizione del settore</t>
  </si>
  <si>
    <t>RESIDENZIALE</t>
  </si>
  <si>
    <t>Acqua calda</t>
  </si>
  <si>
    <t>SETTORE PRIMARIO</t>
  </si>
  <si>
    <t>Agricoltura, silvicoltura e pesca</t>
  </si>
  <si>
    <t>Estrazione di minerali</t>
  </si>
  <si>
    <t>SETTORE SECONDARIO</t>
  </si>
  <si>
    <t>Manifattura</t>
  </si>
  <si>
    <t>Fornitura di acqua, reti fognarie, gestione dei rifiuti e risanamento</t>
  </si>
  <si>
    <t>Costruzione</t>
  </si>
  <si>
    <t>SETTORE TERZIARIO</t>
  </si>
  <si>
    <t>TRASPORTI</t>
  </si>
  <si>
    <t>Trasporto di passeggeri su strada e altri servizi di trasporto passeggeri su strada (taxi, turismo, scuolabus, ecc)</t>
  </si>
  <si>
    <t>Trasporto di merci su strada e servizi di trasloco</t>
  </si>
  <si>
    <t>Trasporto privato</t>
  </si>
  <si>
    <t>Riesportazione (navi, aerei, zone franche industriali, nazionali ed internazionali installazioni militari, ecc)</t>
  </si>
  <si>
    <t>Attività con uso intensivo di energia per l'esportazione (da escludere nel bilancio energetico dell'isola)</t>
  </si>
  <si>
    <t>Altro (da escludere nel bilancio energetico dell'isola)</t>
  </si>
  <si>
    <t>ENERGIA PER USO FINALE</t>
  </si>
  <si>
    <t>Servizi energetici centralizzati</t>
  </si>
  <si>
    <t>Elettricità da rete pubblica</t>
  </si>
  <si>
    <t>Calore da teleriscaldamento</t>
  </si>
  <si>
    <t>Freddo da telereffreddamento</t>
  </si>
  <si>
    <t>Combustibili fossili</t>
  </si>
  <si>
    <t>Olio combustibile</t>
  </si>
  <si>
    <t>Benzina</t>
  </si>
  <si>
    <t>Gas naturali</t>
  </si>
  <si>
    <t>Carbone</t>
  </si>
  <si>
    <t>Fonti di energia rinnovabile (ad esclusione dell'elettricità e del calore venduti a reti pubbliche)</t>
  </si>
  <si>
    <t>Fonti energetiche rinnovabili (da sistemi connessi alle reti pubbliche)</t>
  </si>
  <si>
    <t>Fonti di energia rinnovabile</t>
  </si>
  <si>
    <t>Idrogeno</t>
  </si>
  <si>
    <t>Eolico</t>
  </si>
  <si>
    <t>Solare</t>
  </si>
  <si>
    <t>Geotermico</t>
  </si>
  <si>
    <t>Oceanico</t>
  </si>
  <si>
    <t>Rifiuti urbani</t>
  </si>
  <si>
    <t>Recupero di energia</t>
  </si>
  <si>
    <t>Totale parziale</t>
  </si>
  <si>
    <t>TOTALE PER IL MERCATO INTERNO</t>
  </si>
  <si>
    <t>TOTALE</t>
  </si>
  <si>
    <t>PRODUZIONE ENERGIA SECONDARIA E FLUSSI DI ENERGIA</t>
  </si>
  <si>
    <t>SETTORE DI PRODUZIONE</t>
  </si>
  <si>
    <t>FONTI ENERGETICHE</t>
  </si>
  <si>
    <t>Produzione di energia</t>
  </si>
  <si>
    <t>Elettricità</t>
  </si>
  <si>
    <t>Caldo</t>
  </si>
  <si>
    <t>Freddo</t>
  </si>
  <si>
    <t>ENERGIA PRIMARIA CONVERTITA IN ENERGIA SECONDARIA (consumo di energia primaria)</t>
  </si>
  <si>
    <t>Perdite nella conversione da energia primaria a energia secondaria</t>
  </si>
  <si>
    <t>EFFICIENZA CONVERSIONE ENERGETICA</t>
  </si>
  <si>
    <t>FLUSSI ENERGETICI</t>
  </si>
  <si>
    <t>Archiviazione</t>
  </si>
  <si>
    <t>Dati in ingresso archiviazione</t>
  </si>
  <si>
    <t>Dati in uscita archivizione</t>
  </si>
  <si>
    <t>Connessione esterna</t>
  </si>
  <si>
    <t>Importazione nell'isola</t>
  </si>
  <si>
    <t>Esportazione dall'isola</t>
  </si>
  <si>
    <t>Riesportazione e consumo esterno</t>
  </si>
  <si>
    <t>Perdite nella distribuzione e autoconsumo</t>
  </si>
  <si>
    <t>CONVERSIONE ENERGIA SECONDARIA</t>
  </si>
  <si>
    <t>Conversione dell'elettricità in freddo</t>
  </si>
  <si>
    <t xml:space="preserve">Conversione da calore a freddo </t>
  </si>
  <si>
    <t>Domanda energia finale</t>
  </si>
  <si>
    <t>FONTE ENERGIA PRIMARIA</t>
  </si>
  <si>
    <t>DOMANDA ENERGIA PRIMARIA</t>
  </si>
  <si>
    <t>Elettricità importata (cavo)</t>
  </si>
  <si>
    <t>Elettricità esportata (cavo)</t>
  </si>
  <si>
    <t>EMISSIONI DI CO2</t>
  </si>
  <si>
    <t>EMISSIONI DI CO2 DA PRODUZIONE</t>
  </si>
  <si>
    <t>EMISSIONI DI CO2 DA USO FINALE</t>
  </si>
  <si>
    <t>FATTORI EMISSIONI CO2</t>
  </si>
  <si>
    <t>Emissioni di CO2 da impianti ETS inclusi nei calcoli per l'uso finale di energia</t>
  </si>
  <si>
    <t>Emissioni di CO2 da impianti ETS inclusi nei calcoli per la produzione di energia secondaria</t>
  </si>
  <si>
    <t>Riduzione delle emissioni di CO2 per anno di riferimento</t>
  </si>
  <si>
    <t>Vai al prossimo foglio dedicato a Inventario delle emissioni nel 2020</t>
  </si>
  <si>
    <t xml:space="preserve">PIANO DI INVENTARIO EMISSIONI AL 2020 (attuazione delle azioni di energia sostenibile) </t>
  </si>
  <si>
    <t>Vai al prossimo fogliodedicato al Piano di Azione per l'Energia Sostenibile Insulare</t>
  </si>
  <si>
    <t>TITOLO DEL PIANO DI AZIONE PER L'ENERGIA SOSTENIBILE INSULARE</t>
  </si>
  <si>
    <t>Data dell'approvazione formale</t>
  </si>
  <si>
    <t>Autorità che approva il piano</t>
  </si>
  <si>
    <t>ELEMENTI CHIAVE DEL PIANO DI AZIONE PER L'ENERGIA SOSTENIBILE</t>
  </si>
  <si>
    <t>SETTORI E CAMPI DI AZIONE</t>
  </si>
  <si>
    <t>AZIONI (una riga per azione - inserisci altre righe se necessario; escludere le azioni ETS)</t>
  </si>
  <si>
    <t>RESPONSABILE PER L'IMPLEMENTAZIONE</t>
  </si>
  <si>
    <t>ATTUAZIONE PROGRAMMA</t>
  </si>
  <si>
    <t>Anno di inizio</t>
  </si>
  <si>
    <t>Anno di conclusione</t>
  </si>
  <si>
    <t>COSTI STIMATI DI INVESTIMENTO [euro]</t>
  </si>
  <si>
    <t>RISPARMIO ENERGETICO PREVISTO [MWh/anno]</t>
  </si>
  <si>
    <t>PRODUZIONE ENERGIA RINNOVABILE STIMATA [MWh/anno]</t>
  </si>
  <si>
    <t xml:space="preserve">RIDUZIONE DI C02 PREVISTA  [ton/anno] </t>
  </si>
  <si>
    <t>OBIETTIVO RISPARMIO ENERGETICO ENTRO IL 2020  [MWh/anno]</t>
  </si>
  <si>
    <t xml:space="preserve">OBIETTIVO PRODUZIONE ENERGIA RINNOVABILE ENTRO IL 2020 [ton/anno] </t>
  </si>
  <si>
    <t xml:space="preserve">OBIETTIVO RIDUZIONE CO2 ENTRO IL 2020 [ton/anno] </t>
  </si>
  <si>
    <t>PRODUZIONE ENERGETICA SECONDARIA E FLUSSI ENERGETICI</t>
  </si>
  <si>
    <t>Elettricità (non rinnovabile)</t>
  </si>
  <si>
    <t>Calore (non rinnovabile)</t>
  </si>
  <si>
    <t>Freddo (non rinnovabile)</t>
  </si>
  <si>
    <t>connessione esterna</t>
  </si>
  <si>
    <t>PIANIFICAZIONE DEL TERRITORIO</t>
  </si>
  <si>
    <t>Pianificazione strategica regionale e locale</t>
  </si>
  <si>
    <t>Pianificazione trasporti e mobilità</t>
  </si>
  <si>
    <t>Pianificazione infrastrutture energetiche</t>
  </si>
  <si>
    <t>Pianificazione delle energie rinnovabili del territorio</t>
  </si>
  <si>
    <t>APPALTI PUBBLICI DI PRODOTTI E SERVIZI</t>
  </si>
  <si>
    <t>Requisiti/standard di efficienza energetica</t>
  </si>
  <si>
    <t>requisiti/standard energie rinnovabili</t>
  </si>
  <si>
    <t>CITTADINI E PARTI INTERESSATE</t>
  </si>
  <si>
    <t>Servizi di consulenza</t>
  </si>
  <si>
    <t>Sovvenzioni e sostegni finanziari</t>
  </si>
  <si>
    <t>Consapevolezza e trasmissione</t>
  </si>
  <si>
    <t>Formazione e istruzione</t>
  </si>
  <si>
    <t>Monitoraggio</t>
  </si>
  <si>
    <t>Regolamentazione</t>
  </si>
  <si>
    <t>ALTRI SETTORI (si prega di specificare)</t>
  </si>
  <si>
    <t>Sito web</t>
  </si>
  <si>
    <t>Link diretto alla pagina web dedicata al ISEAP (se presente)</t>
  </si>
  <si>
    <t>ESCLUSIONE DI RESPONSABILITA': La responsabilità per il contenuto di questa pubblicazione è degli autori e non riflette necessariamente l'opinione delle Comunità europee. La Commissione Europea non è responsabile per qualsiasi uso che possa essere fatto delle informazioni ivi contenute.</t>
  </si>
  <si>
    <t>Unità di emissione</t>
  </si>
  <si>
    <t xml:space="preserve">Rapporteringsenhet </t>
  </si>
  <si>
    <t>Absolut minskning</t>
  </si>
  <si>
    <t>Minskning per capita</t>
  </si>
  <si>
    <t>Organisatoriska och ekonomiska aspekter</t>
  </si>
  <si>
    <t>Skapade/tilldelade koordinations- och organisationsstrukturer:</t>
  </si>
  <si>
    <t>Tilldelad personal:</t>
  </si>
  <si>
    <t>RESULTAT  - ENERGIBALANS</t>
  </si>
  <si>
    <t>Godstransporter och magasinering</t>
  </si>
  <si>
    <t>UPPSKATTADE INVESTERINGSKOSTNADER (Euro)</t>
  </si>
  <si>
    <t>Energieffektivitet, krav/standarder</t>
  </si>
  <si>
    <t>Lista för översättning</t>
  </si>
  <si>
    <t>Var god och fyll i er landskod i den gröna cellen, fyll i översättningar i varje ruta i kolumnen nedan och skriv koden för valt språk i den mörkblå cellen i den första kolumnen.</t>
  </si>
  <si>
    <t>Språk</t>
  </si>
  <si>
    <t>Basår</t>
  </si>
  <si>
    <t>CO2 beräkningsmetod</t>
  </si>
  <si>
    <t>Utsläppsfaktorer enligt IPCC</t>
  </si>
  <si>
    <t>Utsläppsfaktorer enligt LCA (livscykelanalys)</t>
  </si>
  <si>
    <r>
      <t>[t CO</t>
    </r>
    <r>
      <rPr>
        <vertAlign val="subscript"/>
        <sz val="9"/>
        <color indexed="8"/>
        <rFont val="Calibri"/>
        <family val="2"/>
      </rPr>
      <t>2</t>
    </r>
    <r>
      <rPr>
        <sz val="9"/>
        <color indexed="8"/>
        <rFont val="Calibri"/>
        <family val="2"/>
      </rPr>
      <t>]</t>
    </r>
  </si>
  <si>
    <r>
      <t>[t CO</t>
    </r>
    <r>
      <rPr>
        <vertAlign val="subscript"/>
        <sz val="9"/>
        <color indexed="8"/>
        <rFont val="Calibri"/>
        <family val="2"/>
      </rPr>
      <t>2eq</t>
    </r>
    <r>
      <rPr>
        <sz val="9"/>
        <color indexed="8"/>
        <rFont val="Calibri"/>
        <family val="2"/>
      </rPr>
      <t>]</t>
    </r>
  </si>
  <si>
    <r>
      <t>[t CO</t>
    </r>
    <r>
      <rPr>
        <vertAlign val="subscript"/>
        <sz val="9"/>
        <color indexed="8"/>
        <rFont val="Calibri"/>
        <family val="2"/>
      </rPr>
      <t>2</t>
    </r>
    <r>
      <rPr>
        <sz val="9"/>
        <color indexed="8"/>
        <rFont val="Calibri"/>
        <family val="2"/>
      </rPr>
      <t>/MWh]</t>
    </r>
  </si>
  <si>
    <r>
      <t>[t CO</t>
    </r>
    <r>
      <rPr>
        <vertAlign val="subscript"/>
        <sz val="9"/>
        <color indexed="8"/>
        <rFont val="Calibri"/>
        <family val="2"/>
      </rPr>
      <t>2eq</t>
    </r>
    <r>
      <rPr>
        <sz val="9"/>
        <color indexed="8"/>
        <rFont val="Calibri"/>
        <family val="2"/>
      </rPr>
      <t>/MWh]</t>
    </r>
  </si>
  <si>
    <t>Översättning av kalkylbladen</t>
  </si>
  <si>
    <r>
      <t xml:space="preserve">Ange CO2 utsläpps-faktorer </t>
    </r>
    <r>
      <rPr>
        <sz val="9"/>
        <color indexed="8"/>
        <rFont val="Calibri"/>
        <family val="2"/>
      </rPr>
      <t>för att beräkna utsläpp</t>
    </r>
  </si>
  <si>
    <t xml:space="preserve">Åtgärdsplanens långsiktiga mål och vision samt finansiella och organisatoriska aspekter </t>
  </si>
  <si>
    <r>
      <t>CO</t>
    </r>
    <r>
      <rPr>
        <vertAlign val="subscript"/>
        <sz val="9"/>
        <color indexed="8"/>
        <rFont val="Calibri"/>
        <family val="2"/>
      </rPr>
      <t>2-</t>
    </r>
    <r>
      <rPr>
        <sz val="9"/>
        <color indexed="8"/>
        <rFont val="Calibri"/>
        <family val="2"/>
      </rPr>
      <t xml:space="preserve">utsläppsinventering och energibalans för basåret </t>
    </r>
  </si>
  <si>
    <r>
      <t>Planerad energibalans och återstående CO</t>
    </r>
    <r>
      <rPr>
        <vertAlign val="subscript"/>
        <sz val="9"/>
        <color indexed="8"/>
        <rFont val="Calibri"/>
        <family val="2"/>
      </rPr>
      <t>2</t>
    </r>
    <r>
      <rPr>
        <sz val="9"/>
        <color indexed="8"/>
        <rFont val="Calibri"/>
        <family val="2"/>
      </rPr>
      <t>-utsläpp år 2020</t>
    </r>
  </si>
  <si>
    <r>
      <t>Lista på åtgärder för hållbar energi; förväntade investeringskostnader och  minskade CO</t>
    </r>
    <r>
      <rPr>
        <vertAlign val="subscript"/>
        <sz val="9"/>
        <color indexed="8"/>
        <rFont val="Calibri"/>
        <family val="2"/>
      </rPr>
      <t>2-</t>
    </r>
    <r>
      <rPr>
        <sz val="9"/>
        <color indexed="8"/>
        <rFont val="Calibri"/>
        <family val="2"/>
      </rPr>
      <t xml:space="preserve">utsläpp </t>
    </r>
  </si>
  <si>
    <t>Åtgärdsplan för hållbar ö-energi, (ISEAP)</t>
  </si>
  <si>
    <t>ÖVERGRIPANDE STRATEGI</t>
  </si>
  <si>
    <r>
      <t>Övergripande mål för minskade CO</t>
    </r>
    <r>
      <rPr>
        <vertAlign val="subscript"/>
        <sz val="9"/>
        <color indexed="8"/>
        <rFont val="Calibri"/>
        <family val="2"/>
      </rPr>
      <t xml:space="preserve">2 </t>
    </r>
    <r>
      <rPr>
        <sz val="9"/>
        <color indexed="8"/>
        <rFont val="Calibri"/>
        <family val="2"/>
      </rPr>
      <t>-utsläpp till år 2020</t>
    </r>
  </si>
  <si>
    <t>Markera lämplig ruta</t>
  </si>
  <si>
    <t xml:space="preserve"> Ej uppnådda mål</t>
  </si>
  <si>
    <t>Långtidsvisionen för beslutande myndighet (inklusive prioriterade insatsområden, trender och utmaningar)</t>
  </si>
  <si>
    <t>Deltagande från intressenter och medborgare:</t>
  </si>
  <si>
    <t>Beräknad totalbudget:</t>
  </si>
  <si>
    <t>Förutsedda finansieringskällor för investeringarna inom er åtgärdsplan:</t>
  </si>
  <si>
    <t>Planerade åtgärder för övervakning och uppföljning:</t>
  </si>
  <si>
    <t>Fortsätt till mallens nästa blad - som är den grundläggande utsläppsinventeringen.</t>
  </si>
  <si>
    <t>GRUNDLÄGGANDE UTSLÄPPSINVENTERING</t>
  </si>
  <si>
    <t>ALLMÄNNA  UPPGIFTER</t>
  </si>
  <si>
    <t>Inventeringsår</t>
  </si>
  <si>
    <t>Antal invånare</t>
  </si>
  <si>
    <t>Passagerartransporter på väg ( kollektivtrafik, taxi, skolskjutsar, turistbussar m m)</t>
  </si>
  <si>
    <t>Övriga servicefordon</t>
  </si>
  <si>
    <t>Återföring (båtar, flygplan, ekonomiska frizoner, nationella och internationella militära installationer, etc.)</t>
  </si>
  <si>
    <t>Energiintensiv produktion för export (som ej  ska ingå i öns energibalans)</t>
  </si>
  <si>
    <t>Annat (som ej ska ingå i öns energibalans)</t>
  </si>
  <si>
    <t>Centraliserade energitjänster</t>
  </si>
  <si>
    <t>El från det allmänna elnätet</t>
  </si>
  <si>
    <t>Förnybara energikällor (ej inkluderat el och värme sålda till allmänna distributionsnät)</t>
  </si>
  <si>
    <t>Förybara energikällor (från system anslutna allmänna distributionsnät)</t>
  </si>
  <si>
    <t>Förnybara energislag</t>
  </si>
  <si>
    <t>TOTAL FÖR ANVÄNDNING  PÅ ÖN</t>
  </si>
  <si>
    <t>Insatt  för lagring</t>
  </si>
  <si>
    <t>Uttag från lagring</t>
  </si>
  <si>
    <r>
      <t xml:space="preserve"> Utsläpp av CO</t>
    </r>
    <r>
      <rPr>
        <vertAlign val="subscript"/>
        <sz val="9"/>
        <color indexed="8"/>
        <rFont val="Calibri"/>
        <family val="2"/>
      </rPr>
      <t>2</t>
    </r>
  </si>
  <si>
    <r>
      <t>CO</t>
    </r>
    <r>
      <rPr>
        <vertAlign val="subscript"/>
        <sz val="9"/>
        <color indexed="8"/>
        <rFont val="Calibri"/>
        <family val="2"/>
      </rPr>
      <t>2</t>
    </r>
    <r>
      <rPr>
        <sz val="9"/>
        <color indexed="8"/>
        <rFont val="Calibri"/>
        <family val="2"/>
      </rPr>
      <t xml:space="preserve"> -UTSLÄPP FRÅN  ENERGIOMVANDLING</t>
    </r>
  </si>
  <si>
    <r>
      <t>CO</t>
    </r>
    <r>
      <rPr>
        <vertAlign val="subscript"/>
        <sz val="9"/>
        <color indexed="8"/>
        <rFont val="Calibri"/>
        <family val="2"/>
      </rPr>
      <t xml:space="preserve">2 </t>
    </r>
    <r>
      <rPr>
        <sz val="9"/>
        <color indexed="8"/>
        <rFont val="Calibri"/>
        <family val="2"/>
      </rPr>
      <t>-UTSLÄPP FRÅN SLUTLIG ENERGIANVÄNDNING</t>
    </r>
  </si>
  <si>
    <r>
      <t>UTSLÄPPSFAKTORER CO</t>
    </r>
    <r>
      <rPr>
        <vertAlign val="subscript"/>
        <sz val="9"/>
        <color indexed="8"/>
        <rFont val="Calibri"/>
        <family val="2"/>
      </rPr>
      <t>2</t>
    </r>
  </si>
  <si>
    <r>
      <t>CO</t>
    </r>
    <r>
      <rPr>
        <vertAlign val="subscript"/>
        <sz val="9"/>
        <color indexed="8"/>
        <rFont val="Calibri"/>
        <family val="2"/>
      </rPr>
      <t xml:space="preserve">2 </t>
    </r>
    <r>
      <rPr>
        <sz val="9"/>
        <color indexed="8"/>
        <rFont val="Calibri"/>
        <family val="2"/>
      </rPr>
      <t>utsläpp från ETS -anläggningar som ingår i beräkningarna för slutanvändning av energi</t>
    </r>
  </si>
  <si>
    <r>
      <t>CO</t>
    </r>
    <r>
      <rPr>
        <vertAlign val="subscript"/>
        <sz val="9"/>
        <color indexed="8"/>
        <rFont val="Calibri"/>
        <family val="2"/>
      </rPr>
      <t>2</t>
    </r>
    <r>
      <rPr>
        <sz val="9"/>
        <color indexed="8"/>
        <rFont val="Calibri"/>
        <family val="2"/>
      </rPr>
      <t>-utsläpp från ETS anläggningar som ingår i beräkningarna för sekundär energiproduktion</t>
    </r>
  </si>
  <si>
    <t>RESULTAT AV UTSLÄPPSINVENTERINGEN</t>
  </si>
  <si>
    <t>Fortsätt till mallens nästa blad - som är utsläpps-scenariet för år 2020</t>
  </si>
  <si>
    <t>UTSLÄPPSSCENARIO FÖR  2020 (efter genomförda åtgärder)</t>
  </si>
  <si>
    <t>Fortsätt till mallens nästa blad - som är åtgärdsplanen för hållbar ö-energi.</t>
  </si>
  <si>
    <t>NAMN PÅ ÖNS ÅTGÄRDSPLAN FÖR HÅLLBAR ENERGI</t>
  </si>
  <si>
    <t>Datum för formellt godkännande</t>
  </si>
  <si>
    <t>Myndighet som har godkänt planen</t>
  </si>
  <si>
    <t>NYCKELOMRÅDEN I ÅTGÄRDSPLANEN FÖR HÅLLBAR ENERGI</t>
  </si>
  <si>
    <t>HUVUDDELAR  OCH  ÅTGÄRDSOMRÅDEN</t>
  </si>
  <si>
    <t>ÅTGÄRDER (en rad per åtgärd -infoga fler rader om det behövs; uteslut ETS-aktiviteter)</t>
  </si>
  <si>
    <t>UPPSKATTAD ENEGIBESPARING (MWh/år)</t>
  </si>
  <si>
    <t>UPPSKATTAD FÖRNYBAR ENERGIPRODUKTION (MWh/år)</t>
  </si>
  <si>
    <r>
      <t>UPPSKATTAD  UTSLÄPPSMINSKNING (ton CO</t>
    </r>
    <r>
      <rPr>
        <vertAlign val="subscript"/>
        <sz val="9"/>
        <color indexed="8"/>
        <rFont val="Calibri"/>
        <family val="2"/>
      </rPr>
      <t>2</t>
    </r>
    <r>
      <rPr>
        <sz val="9"/>
        <color indexed="8"/>
        <rFont val="Calibri"/>
        <family val="2"/>
      </rPr>
      <t>/år)</t>
    </r>
  </si>
  <si>
    <t>ENERGIBESPARINGSMÅL ÅR 2020 (MWh/år)</t>
  </si>
  <si>
    <t>PRODUKTIONSMÅL FÖR FÖRNYBAR ENERGI ÅR 2020 (MWh/år)</t>
  </si>
  <si>
    <r>
      <t>MÅL FÖR MINSKADE CO</t>
    </r>
    <r>
      <rPr>
        <vertAlign val="subscript"/>
        <sz val="9"/>
        <color indexed="8"/>
        <rFont val="Calibri"/>
        <family val="2"/>
      </rPr>
      <t>2-</t>
    </r>
    <r>
      <rPr>
        <sz val="9"/>
        <color indexed="8"/>
        <rFont val="Calibri"/>
        <family val="2"/>
      </rPr>
      <t>UTSLÄPP TILL ÅR 2020 (ton/år)</t>
    </r>
  </si>
  <si>
    <t>SEKUNDÄR ENERGIPRODUKTION OCH ENERGIVARIATIONER</t>
  </si>
  <si>
    <t>El (ej förnybar)</t>
  </si>
  <si>
    <t>Värme (ej förnybar)</t>
  </si>
  <si>
    <t>Kyla (ej förnybar)</t>
  </si>
  <si>
    <t>Vågkraft (havsbaserad)</t>
  </si>
  <si>
    <t>FYSISK PLANERING (markanvändning)</t>
  </si>
  <si>
    <t>Planer för energi-infrastruktur</t>
  </si>
  <si>
    <t>OFFENTLIG UPPHANDLING AV VAROR OCH TJÄNSTER</t>
  </si>
  <si>
    <t>Förnybara energikällor, krav/standarder</t>
  </si>
  <si>
    <t>Direktlänk till webbsidan för åtgärdsplanen (i förekommande fall)</t>
  </si>
  <si>
    <t>FRISKRIVNING: Författarna ansvarar själva för innehållet i den här publikationen. Det kan hända att innehållet inte avspeglar de Europeiska gemenskapernas åsikter. Europeiska kommissionen ansvarar inte för eventuell användning av den information som finns häri.</t>
  </si>
  <si>
    <t>Passenger road transport (public transports, taxi, tourism, school buses, etc.)</t>
  </si>
  <si>
    <t>Transporte de passageiros por estrada (transportes públicos, táxis, turismo, transporte escolar, etc.)</t>
  </si>
  <si>
    <t>Hiiumaa</t>
  </si>
  <si>
    <t>Hiiumaa Omavalitsuste Liit</t>
  </si>
  <si>
    <t>Domestic uses</t>
  </si>
  <si>
    <t>Citizen</t>
  </si>
  <si>
    <t>Increase of thermal insulation of new and existing buildings.</t>
  </si>
  <si>
    <t>Kaubandus, teenindus ja turism</t>
  </si>
  <si>
    <t>Avalik haldus, koolid, lasteaiad</t>
  </si>
  <si>
    <t>Muud teenused</t>
  </si>
  <si>
    <t>Installation of efficient lamps, luminaries and control sensors for street lighting.</t>
  </si>
  <si>
    <t>Operators</t>
  </si>
  <si>
    <t>Installation of supply infrastructures for electric vehicles.</t>
  </si>
  <si>
    <t>Establishment of areas for renewable energies.</t>
  </si>
  <si>
    <t>Definition of standards and criteria for energy efficiency in the specifications of tender documents for procurement of works, goods and services.</t>
  </si>
  <si>
    <t>Definition of standards and criteria for use of renewable energy in the specifications of tender documents for procurement of works, goods and services.</t>
  </si>
  <si>
    <t>Creation of an Internet-based for sustainable energy advisory service for local businesses and residents.</t>
  </si>
  <si>
    <t>Development of energy initiatives involving school programs (guides, games, competitions, etc.).</t>
  </si>
  <si>
    <t>Tourist information to promote sustainable energy use during the visit.</t>
  </si>
  <si>
    <t>Training operators to introduce new energy-efficient materials in the construction and rehabilitation of buildings.</t>
  </si>
  <si>
    <t>Development of cooperation projects with governments, civil society and other regions.</t>
  </si>
  <si>
    <t>Elaboration of information leaflets about sustainable energy use and efficient appliances and water heaters.</t>
  </si>
  <si>
    <t>Application for infrastructures and sustainable energy projects to national and european support programs.</t>
  </si>
  <si>
    <t>Installation of community windfarms.</t>
  </si>
  <si>
    <t>Increase the coverage of the disctrict heating network.</t>
  </si>
  <si>
    <t>Integration of criteria and norms in land use planning and municipal regulations that encourage the connection to district heating and the minimization of energy needs in transports and buildings, for new settlements.</t>
  </si>
  <si>
    <t>Kodumajapidamine</t>
  </si>
  <si>
    <t>NGO-s</t>
  </si>
  <si>
    <t>1)</t>
  </si>
  <si>
    <t>Instructions</t>
  </si>
  <si>
    <t>Date of formal approval</t>
  </si>
  <si>
    <t>Authority approving the plan</t>
  </si>
  <si>
    <t>2)</t>
  </si>
  <si>
    <t>Energy efficiency requirements/standards</t>
  </si>
  <si>
    <t>Renewable energy requirements/standards</t>
  </si>
  <si>
    <t>Advisory services</t>
  </si>
  <si>
    <t>Financial support and grants</t>
  </si>
  <si>
    <t>Training and education</t>
  </si>
  <si>
    <t>3)</t>
  </si>
  <si>
    <t>EN</t>
  </si>
  <si>
    <t>PT</t>
  </si>
  <si>
    <t>ES</t>
  </si>
  <si>
    <t>FR</t>
  </si>
  <si>
    <t>GR</t>
  </si>
  <si>
    <t>SW</t>
  </si>
  <si>
    <t>DK</t>
  </si>
  <si>
    <t>IT</t>
  </si>
  <si>
    <t>…</t>
  </si>
  <si>
    <t>….</t>
  </si>
  <si>
    <t>…..</t>
  </si>
  <si>
    <t>TRANSLATION TABLE</t>
  </si>
  <si>
    <t>QUADRO DE TRADUÇÕES</t>
  </si>
  <si>
    <t>Please fill your language code in a light green cell, fill the translation of each item in the column below and put the code of your language in dark blue cell of first column:</t>
  </si>
  <si>
    <t>Por favor coloque o código do seu idioma numa das células verde claro, preencha a tradução de cada item na coluna em baixo e coloque o código do seu idioma na célula azul escuro da primeira coluna:</t>
  </si>
  <si>
    <t>Água quente</t>
  </si>
  <si>
    <t>Agriculture, forestry and fishing</t>
  </si>
  <si>
    <t>Agricultura, produção animal, caça, floresta e pesca</t>
  </si>
  <si>
    <t>Mining and quarrying</t>
  </si>
  <si>
    <t>Indústrias extractivas</t>
  </si>
  <si>
    <t>Manufacturing</t>
  </si>
  <si>
    <t>Indústrias transformadoras</t>
  </si>
  <si>
    <t>Water supply, sewerage, waste management and remediation activities</t>
  </si>
  <si>
    <t>Construction</t>
  </si>
  <si>
    <t>Construção</t>
  </si>
  <si>
    <t>Comércio por grosso e a retalho; reparação de veículos automóveis e motociclos</t>
  </si>
  <si>
    <t>Alojamento, restauração e similares</t>
  </si>
  <si>
    <t>Administração pública e segurança social</t>
  </si>
  <si>
    <t>Other services</t>
  </si>
  <si>
    <t>Freight transport by road and removal services</t>
  </si>
  <si>
    <t>Transporte de mercadorias por estrada e serviços de mudanças</t>
  </si>
  <si>
    <t>Hydro</t>
  </si>
  <si>
    <t>Hídrica</t>
  </si>
  <si>
    <t>Wind</t>
  </si>
  <si>
    <t>Eólica</t>
  </si>
  <si>
    <t>Solar</t>
  </si>
  <si>
    <t>Geothermal</t>
  </si>
  <si>
    <t>Geotérmica</t>
  </si>
  <si>
    <t>Ocean</t>
  </si>
  <si>
    <t>Oceânica</t>
  </si>
  <si>
    <t>Biomass</t>
  </si>
  <si>
    <t>Biomassa</t>
  </si>
  <si>
    <t>Urban waste</t>
  </si>
  <si>
    <t>Resíduos urbanos</t>
  </si>
  <si>
    <t>TOTAL</t>
  </si>
  <si>
    <t>SECONDARY ENERGY PRODUCTION AND ENERGY FLUXES</t>
  </si>
  <si>
    <t>PRODUÇÃO DE ENERGIA SECUNDÁRIA E FLUXOS ENERGÉTICOS</t>
  </si>
  <si>
    <t>Storage</t>
  </si>
  <si>
    <t>Armazenamento</t>
  </si>
  <si>
    <t>External connection</t>
  </si>
  <si>
    <t>Ligação externa</t>
  </si>
  <si>
    <t>Distribution losses and self-consumption</t>
  </si>
  <si>
    <t>Perdas de distribuição e consumos próprios</t>
  </si>
  <si>
    <t>Island  Sustainable Energy Action Plan (ISEAP)</t>
  </si>
  <si>
    <t>Starting year</t>
  </si>
  <si>
    <t>Ending year</t>
  </si>
  <si>
    <t>Mandatory fields</t>
  </si>
  <si>
    <t>Electricity (non-renewable)</t>
  </si>
  <si>
    <t>Heat (non-renewable)</t>
  </si>
  <si>
    <t>Cold (non-renewable)</t>
  </si>
  <si>
    <t>Electricidade (não renovável)</t>
  </si>
  <si>
    <t>Calor (não renovável)</t>
  </si>
  <si>
    <t>Frio (não renovável)</t>
  </si>
  <si>
    <t>SECTORS AND FIELDS OF ACTION</t>
  </si>
  <si>
    <t>ACTIONS
(one line per action - insert lines if necessary; exclude ETS actions)</t>
  </si>
  <si>
    <t>RESPONSIBLE FOR IMPLEMENTATION</t>
  </si>
  <si>
    <t>IMPLEMENTATION SCHEDULE</t>
  </si>
  <si>
    <t>ESTIMATED INVESTMENT COSTS [euro]</t>
  </si>
  <si>
    <t>EXPECTED ENERGY SAVINGS [MWh/year]</t>
  </si>
  <si>
    <t>EXPECTED RENEWABLE ENERGY PRODUCTION [MWh/year]</t>
  </si>
  <si>
    <t>EXPECTED CO2 REDUCTION [ton/year]</t>
  </si>
  <si>
    <t>ENERGY SAVINGS TARGET IN 2020 [MWh/year]</t>
  </si>
  <si>
    <t>RENEWABLE ENERGY PRODUCTION TARGET IN 2020 [MWh/year]</t>
  </si>
  <si>
    <t>CO2 REDUCTION TARGET IN 2020 [ton/year]</t>
  </si>
  <si>
    <t>LAND USE PLANNING</t>
  </si>
  <si>
    <t>Regional and local strategic planning</t>
  </si>
  <si>
    <t>Transports and mobility planning</t>
  </si>
  <si>
    <t>PUBLIC PROCUREMENT OF PRODUCTS AND SERVICES</t>
  </si>
  <si>
    <t>OTHER SECTORS (please specify)</t>
  </si>
  <si>
    <t>Instruções</t>
  </si>
  <si>
    <t>Data de aprovação formal</t>
  </si>
  <si>
    <t>Entidade que aprova o plano</t>
  </si>
  <si>
    <t>Campos obrigatórios</t>
  </si>
  <si>
    <t>Direct link to the webpage dedicated to ISEAP (if any)</t>
  </si>
  <si>
    <t>SECTORES E ÁREAS DE INTERVENÇÃO</t>
  </si>
  <si>
    <t>ACÇÕES
(uma linha por acção - inserir linhas se necessário; excluir acções CELE)</t>
  </si>
  <si>
    <t>RESPONSÁVEL PELA IMPLEMENTAÇÃO</t>
  </si>
  <si>
    <t>CALENDÁRIO DE IMPLEMENTAÇÃO</t>
  </si>
  <si>
    <t>Ano de início</t>
  </si>
  <si>
    <t>Ano de conclusão</t>
  </si>
  <si>
    <t>INVESTIMENTO ESTIMADO [euro]</t>
  </si>
  <si>
    <t>POUPANÇA DE ENERGIA ESPERADA [MWh/ano]</t>
  </si>
  <si>
    <t>PRODUÇÃO DE ENERGIA RENOVÁVEL ESPERADA [MWh/ano]</t>
  </si>
  <si>
    <t>REDUÇÃO DE EMISSÕES DE CO2 ESPERADAS [t/ano]</t>
  </si>
  <si>
    <t>META DE POUPANÇA DE ENERGIA EM 2020 [MWh/ano]</t>
  </si>
  <si>
    <t>META DE PRODUÇÃO DE ENERGIA RENOVÁVEL EM 2020 [MWh/ano]</t>
  </si>
  <si>
    <t>META DE REDUÇÃO DE EMISSÕES DE CO2 EM 2020 [t/ano]</t>
  </si>
  <si>
    <t>ORDENAMENTO DO TERRITÓRIO</t>
  </si>
  <si>
    <t>CONTRATOS PÚBLICOS DE PRODUTOS E SERVIÇOS</t>
  </si>
  <si>
    <t>CIDADÃOS E PARTES INTERESSADAS</t>
  </si>
  <si>
    <t>CITIZENS AND STAKEHOLDERS</t>
  </si>
  <si>
    <t>Ligação para o website dedicado ao ISEAP (se existir)</t>
  </si>
  <si>
    <t>Planeamento estratégico local e regional</t>
  </si>
  <si>
    <t>Planeamento de transportes e mobilidade</t>
  </si>
  <si>
    <t>Requisitos e standards para eficiência energética</t>
  </si>
  <si>
    <t>Requisitos e standards para energias renováveis</t>
  </si>
  <si>
    <t>Serviços de aconselhamento</t>
  </si>
  <si>
    <t>Sensibilização e cooperação</t>
  </si>
  <si>
    <t>Awareness raising and networking</t>
  </si>
  <si>
    <t>Formação e educação</t>
  </si>
  <si>
    <t>OUTROS SECTORES (por favor, especificar)</t>
  </si>
  <si>
    <t>Instruktioner</t>
  </si>
  <si>
    <t>Obligatoriska fält</t>
  </si>
  <si>
    <t>ANSVARIG FÖR GENOMFÖRANDE</t>
  </si>
  <si>
    <t>TIDPLAN FÖR GENOMFÖRANDE</t>
  </si>
  <si>
    <t>Startår</t>
  </si>
  <si>
    <t>Slutår</t>
  </si>
  <si>
    <t>Varmvatten</t>
  </si>
  <si>
    <t>Tillverkning</t>
  </si>
  <si>
    <t>Privata transporter</t>
  </si>
  <si>
    <t>SEKUNDÄR ENERGIPRODUKTION OCH ENERGIFLÖDEN</t>
  </si>
  <si>
    <t>Vattenkraft</t>
  </si>
  <si>
    <t>Vindkraft</t>
  </si>
  <si>
    <t>Solenergi</t>
  </si>
  <si>
    <t>Geotermisk energi</t>
  </si>
  <si>
    <t>Hushållsavfall</t>
  </si>
  <si>
    <t>Lagring</t>
  </si>
  <si>
    <t>Externa anslutningar</t>
  </si>
  <si>
    <t>Transport- och mobilitetsplanering</t>
  </si>
  <si>
    <t>INVÅNARE OCH AKTÖRER</t>
  </si>
  <si>
    <t>Rådgivande tjänster</t>
  </si>
  <si>
    <t>Finansiella stöd och bidrag</t>
  </si>
  <si>
    <t>Beteende påverkan och nätverksarbete</t>
  </si>
  <si>
    <t>ANDRA SEKTORER (specificera)</t>
  </si>
  <si>
    <t>OVERSÆTTELSES TABEL</t>
  </si>
  <si>
    <t>Ø handlingsplan for bæredygtig energi (ISEAP)</t>
  </si>
  <si>
    <t>Dato for formel godkendelse</t>
  </si>
  <si>
    <t>Myndighed der godkender planen</t>
  </si>
  <si>
    <t>Obligatoriske felter</t>
  </si>
  <si>
    <t>SEKTORER OG Indsatsområder</t>
  </si>
  <si>
    <t xml:space="preserve">Handlinger (Én linje pr handling - indsæt linjer om nødvendigt; undlad ETS handlinger) </t>
  </si>
  <si>
    <t>ANSVARLIG FOR IMPLEMENTERING</t>
  </si>
  <si>
    <t>Tidsplan for implementering</t>
  </si>
  <si>
    <t>Begyndelsesår</t>
  </si>
  <si>
    <t>Afslutnings år</t>
  </si>
  <si>
    <t>ANSLÅEDE INVESTERINGSOMKOSTNINGER [euro]</t>
  </si>
  <si>
    <t>Forventede energibesparelser [MWh / år]</t>
  </si>
  <si>
    <t>FORVENTET produktion af vedvarende energi [MWh / år]</t>
  </si>
  <si>
    <t>FORVENTET CO2 reduktion [ton / år]</t>
  </si>
  <si>
    <t>Energisparemål i 2020 [MWh / år]</t>
  </si>
  <si>
    <t>Produktion af vedvarende energi i 2020 [MWh / år]</t>
  </si>
  <si>
    <t>CO2 reduktionsmål i 2020 [ton / år]</t>
  </si>
  <si>
    <t>Varmt vand</t>
  </si>
  <si>
    <t>Landbrug, skovbrug og fiskeri</t>
  </si>
  <si>
    <t>Råstofudvinding</t>
  </si>
  <si>
    <t>Byggeri</t>
  </si>
  <si>
    <t>Vejgodstransport og flytning</t>
  </si>
  <si>
    <t>Private transporter</t>
  </si>
  <si>
    <t>SEKUNDÆR ENERGIPRODUKTION OG ENERGI UDSVING</t>
  </si>
  <si>
    <t>El (ikke vedvarende)</t>
  </si>
  <si>
    <t>Varme (ikke vedvarende)</t>
  </si>
  <si>
    <t>Kolde (ikke vedvarende)</t>
  </si>
  <si>
    <t>Vind</t>
  </si>
  <si>
    <t>Geotermisk</t>
  </si>
  <si>
    <t>Biomasse</t>
  </si>
  <si>
    <t>Byaffald</t>
  </si>
  <si>
    <t>Ekstern tilslutning</t>
  </si>
  <si>
    <t>Distributionstab og selvstændige forbrug</t>
  </si>
  <si>
    <t>...</t>
  </si>
  <si>
    <t>Arealanvendelsesplanlægning</t>
  </si>
  <si>
    <t>Regionale og lokale strategiske planlægning</t>
  </si>
  <si>
    <t>Transport og planlægning af mobilitet</t>
  </si>
  <si>
    <t>OFFENTLIGE indkøb af varer og tjenesteydelser</t>
  </si>
  <si>
    <t>Vedvarende energi krav / standarder</t>
  </si>
  <si>
    <t>Borgere og interessenter</t>
  </si>
  <si>
    <t>Rådgivning</t>
  </si>
  <si>
    <t>Økonomisk støtte og tilskud</t>
  </si>
  <si>
    <t>Bevidstgørelse og netværk</t>
  </si>
  <si>
    <t>Træning og uddannelse</t>
  </si>
  <si>
    <t>Andre sektorer (angiv nærmere)</t>
  </si>
  <si>
    <t>Direkte link til den webside dedikeret til ISEAP (hvis nogen)</t>
  </si>
  <si>
    <t>ANSVARSFRASKRIVELSE: Ansvaret for indholdet af denne publikation ligger hos forfatterne. Det afspejler ikke nødvendigvis udtalelse fra De Europæiske Fællesskaber. Europa-Kommissionen er ikke ansvarlig for nogen brug, der kan være lavet af oplysningerne heri.</t>
  </si>
  <si>
    <t>EST</t>
  </si>
  <si>
    <t>TÕLGETE TABEL</t>
  </si>
  <si>
    <t>Palun kirjuta helerohelisse lahtrisse oma keele kodeering, täida alljärgnev veerg tõlgetega ja märgi keele kood esimese tulba tumesinisesse lahtrisse:</t>
  </si>
  <si>
    <t>Saare säästva energia tegevusplaan (ISEAP)</t>
  </si>
  <si>
    <t>Juhised</t>
  </si>
  <si>
    <t>Ametliku kooskõlastamise kuupäev</t>
  </si>
  <si>
    <t>Tegevusplaani kooskõlastav ametkond</t>
  </si>
  <si>
    <t>Kohustuslikud väljad</t>
  </si>
  <si>
    <t>Tegevusvaldkonnad ja sektorid</t>
  </si>
  <si>
    <t>TEGEVUSED (üks rida tegevuse kohta- sisesta read kui vajalik; jäta välja emissioonide kauplemisskeemi tegevused)</t>
  </si>
  <si>
    <t>VASTUTAV ELLUVIIMISE EEST</t>
  </si>
  <si>
    <t>ELLUVIIMISE AJAKAVA</t>
  </si>
  <si>
    <t>Alustamise aasta</t>
  </si>
  <si>
    <t>Lõpetamise aasta</t>
  </si>
  <si>
    <t>INVESTEERINGU HINNANGULINE MAKSUMUS [eurodes]</t>
  </si>
  <si>
    <t>EELDATAV ENERGIASÄÄST [MWh/aastas]</t>
  </si>
  <si>
    <t>EELDATAV TAASTUVENERGIA TOOTMINE [MWh/aastas]</t>
  </si>
  <si>
    <t>EELDATAV CO2 VÄHENEMINE [tonni/aastas]</t>
  </si>
  <si>
    <t>ENERGIA SÄÄST AASTAKS 2020 [MWh/aastas]</t>
  </si>
  <si>
    <t>TAASTUVENERGIA TOOTMINE AASTAKS 2020 [MWh/aastas]</t>
  </si>
  <si>
    <t>CO2 VÄHENEMINE AASTAKS 2020 [tonni/aastas]</t>
  </si>
  <si>
    <t>Põllumajandus, metsandus ja kalandus</t>
  </si>
  <si>
    <t>Kaevandamine</t>
  </si>
  <si>
    <t>Ehitus</t>
  </si>
  <si>
    <t>SEKUNDAARNE ENERGIA TOOTMINE JA  ENERGIA ÜLEKANNE</t>
  </si>
  <si>
    <t>Elekter (taastumatutest allikatest)</t>
  </si>
  <si>
    <t>Küte (taastumatutest allikatest)</t>
  </si>
  <si>
    <t>Jahutamine (taastumatutest allikatest)</t>
  </si>
  <si>
    <t>Hüdro</t>
  </si>
  <si>
    <t>Tuul</t>
  </si>
  <si>
    <t>Päike</t>
  </si>
  <si>
    <t>Maasoojus</t>
  </si>
  <si>
    <t>Okeaan</t>
  </si>
  <si>
    <t>Jäätmed</t>
  </si>
  <si>
    <t>Säilitamine</t>
  </si>
  <si>
    <t>Väline ühendus</t>
  </si>
  <si>
    <t>Ülekande kaod ja kohapealne tarbimine</t>
  </si>
  <si>
    <t>MAAKASUTUSE PLANEERIMINE</t>
  </si>
  <si>
    <t>Regionaalne ja kohalik strateegiline planeerimine</t>
  </si>
  <si>
    <t>TOODETE JA TEENUSE RIIGIHANGE</t>
  </si>
  <si>
    <t>Energia efektiivsuse nõuded/standardid</t>
  </si>
  <si>
    <t>Taastuvenergia nõuded/standardid</t>
  </si>
  <si>
    <t>KODANIKUD JA HUVIRÜHMAD</t>
  </si>
  <si>
    <t>Nõustamisteenused</t>
  </si>
  <si>
    <t>Finantsabi ja toetused</t>
  </si>
  <si>
    <t>Teadlikkuse tõstmine ja koostöövõrgustikud</t>
  </si>
  <si>
    <t>Koolitus ja haridus</t>
  </si>
  <si>
    <t>TEISED SEKTORID (palun täpsusta)</t>
  </si>
  <si>
    <t>KOKKU</t>
  </si>
  <si>
    <t>Otselink ISEAP koduleheküljele (kui on olemas)</t>
  </si>
  <si>
    <t>LOOBUMINE VASTUTUSEST: Kogu vastutus antud väljaande sisu eest lasub autoritel. See ei peegelda tingimata Euroopa riikide arvamust. Euroopa Komitee ei ole vastutav siin oleva informatsiooni kasutamise eest.</t>
  </si>
  <si>
    <t>ΠΙΝΑΚΑΣ ΜΕΤΑΦΡΑΣΗΣ</t>
  </si>
  <si>
    <t xml:space="preserve">Παρακαλώ συμπληρώστε τη γλώσσα σας στο πράσινο κελί. Μεταφράστε κάθε γραμμή του πίνκακα και προσθέστε τον ανάλογο κώδικα στο μπλέ κελί στην πρώτη στήλη. </t>
  </si>
  <si>
    <t>Νησιωτικό Σχέδιο Δράσης για την Αειφόρο Ενέργεια (ΝΣΔΑΕ)</t>
  </si>
  <si>
    <t>Οδηγίες</t>
  </si>
  <si>
    <t>Ημερομηνία επίσημης έγκρισης</t>
  </si>
  <si>
    <t>Αρχή που εγκρίνει το σχέδιο</t>
  </si>
  <si>
    <t>Υποχρεωτικά πεδία</t>
  </si>
  <si>
    <t>ΤΟΜΕΙΣ ΚΑΙ ΠΕΔΙΑ ΔΡΑΣΗΣ</t>
  </si>
  <si>
    <t>ΔΡΑΣΕΙΣ (μία γραμμή ανά δράση - εάν χρειαστεί εισάγετε γραμμές, μη συμπεριλάβετε τις δράσεις ETS)</t>
  </si>
  <si>
    <t>ΥΠΕΥΘΥΝΟΣ ΓΙΑ ΤΗΝ ΕΦΑΡΜΟΓΗ</t>
  </si>
  <si>
    <t>ΠΡΟΓΡΑΜΜΑ ΕΦΑΡΜΟΓΗΣ</t>
  </si>
  <si>
    <t>Έτος έναρξης</t>
  </si>
  <si>
    <t>Έτος λήξης</t>
  </si>
  <si>
    <t>ΑΝΑΜΕΝΟΜΕΝΕΣ ΕΠΕΝΔΥΤΙΚΕΣ ΔΑΠΑΝΕΣ [ευρώ]</t>
  </si>
  <si>
    <t>ΑΝΑΜΕΝΟΜΕΝΗ ΕΞΟΙΚΟΝΟΜΗΣΗ ΕΝΕΡΓΕΙΑΣ [ΜWh/έτος]</t>
  </si>
  <si>
    <t>ΑΝΑΜΕΝΟΜΕΝΗ ΠΑΡΑΓΩΓΗ ΑΠΟ ΑΝΑΝΕΩΣΙΜΕΣ ΠΗΓΕΣ ΕΝΕΡΓΕΙΑΣ [ΜWh/έτος]</t>
  </si>
  <si>
    <t>Trade, service and tourism</t>
  </si>
  <si>
    <t>Public administration, schools and kindergardens</t>
  </si>
  <si>
    <t>Increase use of alternative transports (regular bicycle, electric bicycle, electric rollers and electric cars) for private use, fleets and rental.</t>
  </si>
  <si>
    <t>As a vision for the future, the energy policy is orientated to guarantee security of energy supply, ensure economical and environmental sustainability of the sector and quality of energy services, and to contribute to job creation and local added value and to the competitiveness of the local economy. 
The specific main objectives of the strategy for sustainable energy are to:
  - Improve security of energy supply.
  - Reduce energy dependence from abroad.
  - Reduce energy intensity in Gross Domestic Product.
  - Reduce carbon dioxide emissions.
The targets to achieve in 2020 are to:
  - Increase to 20% the use of local energy resources in primary energy demand.
  - Reduce CO2 by 20% compared to 2005.
 - Have a neutral balance of CO2 emissions.</t>
  </si>
  <si>
    <t>Sectors and areas of intervention</t>
  </si>
  <si>
    <t>Expected results in 2020</t>
  </si>
  <si>
    <t>Investiment</t>
  </si>
  <si>
    <t>[Meuro]</t>
  </si>
  <si>
    <t>Energy savings</t>
  </si>
  <si>
    <t>[MWh/year]</t>
  </si>
  <si>
    <t xml:space="preserve">Production of renewable energy </t>
  </si>
  <si>
    <t>[ton/year]</t>
  </si>
  <si>
    <t>Residential</t>
  </si>
  <si>
    <t>Primary sector</t>
  </si>
  <si>
    <t>Secondary sector</t>
  </si>
  <si>
    <t>Tertiary sector</t>
  </si>
  <si>
    <t>Transports</t>
  </si>
  <si>
    <t>Production of secondary energy</t>
  </si>
  <si>
    <t>Other areas</t>
  </si>
  <si>
    <r>
      <t>Reduction of CO</t>
    </r>
    <r>
      <rPr>
        <b/>
        <vertAlign val="subscript"/>
        <sz val="12"/>
        <color indexed="8"/>
        <rFont val="Times New Roman"/>
        <family val="1"/>
      </rPr>
      <t>2</t>
    </r>
    <r>
      <rPr>
        <b/>
        <sz val="12"/>
        <color indexed="8"/>
        <rFont val="Times New Roman"/>
        <family val="1"/>
      </rPr>
      <t xml:space="preserve"> emissions</t>
    </r>
  </si>
  <si>
    <t>Other</t>
  </si>
  <si>
    <t>79,5 million euros until 2020.</t>
  </si>
  <si>
    <t>TOTAL (Meruro)</t>
  </si>
  <si>
    <t>ΑΝΑΜΕΝΟΜΕΝΗ ΜΕΙΩΣΗ CO2 [τόνοι/έτος]</t>
  </si>
  <si>
    <t>Ζεστό νερό χρήσης</t>
  </si>
  <si>
    <t>Γεωργία, δασοκομία και αλιεία</t>
  </si>
  <si>
    <t>Ορυχεία και λατομεία</t>
  </si>
  <si>
    <t>Μεταποίηση</t>
  </si>
  <si>
    <t>Παροχή νερού, επεξεργασία λυμάτων, διαχείριση αποβλήτων και δραστηριότητες εξυγίανσης</t>
  </si>
  <si>
    <t>Κατασκευές</t>
  </si>
  <si>
    <t>Χονδρικό και λιανικό εμπόριο, επισκευή μηχανοκίνητων οχημάτων και μοτοσυκλετών</t>
  </si>
  <si>
    <t>Δραστηριότητες υπηρεσιών παροχής καταλύματος και υπηρεσιών εστίασης</t>
  </si>
  <si>
    <t>Γενική δημόσια διοίκηση και κοινωνική ασφάλιση</t>
  </si>
  <si>
    <t>Οδικές μεταφορές εμπορευμάτων και υπηρεσίες μετακόμισης</t>
  </si>
  <si>
    <t>ΔΕΥΤΕΡΟΓΕΝΗΣ ΠΑΡΑΓΩΓΗ ΕΝΕΡΓΕΙΑΣ ΚΑΙ ΕΝΕΡΓΕΙΑΚΏΝ ΡΟΩΝ</t>
  </si>
  <si>
    <t>Ηλεκτριμός (συμβατική)</t>
  </si>
  <si>
    <t>Θέρμανση (συμβατική)</t>
  </si>
  <si>
    <t>Ψύξη (συμβατική)</t>
  </si>
  <si>
    <t>Υδραυλική ενέργεια</t>
  </si>
  <si>
    <t>Αιολική ενέργεια</t>
  </si>
  <si>
    <t>Ηλιακή ενέργεια</t>
  </si>
  <si>
    <t>Γεωθερμική ενέργεια</t>
  </si>
  <si>
    <t>Ωκεάνια ενέργεια</t>
  </si>
  <si>
    <t>Βιομάζα</t>
  </si>
  <si>
    <t>Αστικά απόβλητα</t>
  </si>
  <si>
    <t>Αποθήκευση</t>
  </si>
  <si>
    <t>Εξωτερική διασύνδεση</t>
  </si>
  <si>
    <t>Απώλειες διανομής και αυτο-κατανάλωση</t>
  </si>
  <si>
    <t>ΣΧΕΔΙΑΣΜΟΣ ΧΡΗΣΕΩΝ ΓΗΣ</t>
  </si>
  <si>
    <t>Στρατηγικός σχεδιασμός περιφερειών και τοπικών αρχών</t>
  </si>
  <si>
    <t>Σχεδιασμός μεταφορών και κινητικότητας</t>
  </si>
  <si>
    <t>ΔΗΜΟΣΙΕΣ ΣΥΜΒΑΣΕΙΣ ΠΡΟΪΟΝΤΩΝ ΚΑΙ ΥΠΗΡΕΣΙΩΝ</t>
  </si>
  <si>
    <t>Απαιτήσεις/πρότυπα ενεργειακής απόδοσης</t>
  </si>
  <si>
    <t>Απαιτήσεις/πρότυπα ανανεώσιμης ενέργειας</t>
  </si>
  <si>
    <t>ΠΟΛΙΤΕΣ ΚΑΙ ΕΜΠΛΕΚΟΜΕΝΟΙ ΦΟΡΕΙΣ</t>
  </si>
  <si>
    <t>Συμβουλευτικές υπηρεσίες</t>
  </si>
  <si>
    <t>Οικονομική υποστήριξη και επιχορηγήσεις</t>
  </si>
  <si>
    <t>Ευαισθητοποίηση και δικτύωση</t>
  </si>
  <si>
    <t>Κατάρτιση και εκπαίδευση</t>
  </si>
  <si>
    <t>ΑΛΛΟΙ ΚΛΑΔΟΙ (διευκρινίστε)</t>
  </si>
  <si>
    <t>ΣΥΝΟΛΟ</t>
  </si>
  <si>
    <t>Απευθείας σύνδεση με την ιστοσελίδα για το ΝΣΔΑΕ (εάν υπάρχει)</t>
  </si>
  <si>
    <t>ΑΠΟΠΟΙΗΣΗ: Η αποκλειστική ευθύνη για το περιεχόμενο αυτής της δημοσίευσης βαραίνει τους συγγραφείς. Δεν εκφράζει απαραίτητα τη γνώμη των Ευρωπαϊκών Κοινοτήτων. Η Ευρωπαϊκή Επιτροπή δεν ευθύνεται για οποιαδήποτε χρήση των πληροφοριών που περιέχονται σε αυτήν.</t>
  </si>
  <si>
    <t>ΣΤΟΧΟΣ ΠΑΡΑΓΩΓΗΣ ΑΠΟ ΑΝΑΝΕΩΣΙΜΕΣ ΠΗΓΕΣ ΕΝΕΡΓΕΙΑΣ ΜΕΧΡΙ ΤΟ 2020 [MWh/έτος]</t>
  </si>
  <si>
    <t>ΣΤΟΧΟΣ ΜΕΙΩΣΗΣ CO2 ΜΕΧΡΙ ΤΟ 2020 [τόνοι/έτος]</t>
  </si>
  <si>
    <t>ΣΤΟΧΟΣ ΕΞΟΙΚΟΝΟΜΗΣΗΣ ΕΝΕΡΓΕΙΑΣ ΜΕΧΡΙ ΤΟ 2020 [MWh/έτος]</t>
  </si>
  <si>
    <t>Apoios financeiros e subsídios</t>
  </si>
  <si>
    <t>Energy infrastructures planning</t>
  </si>
  <si>
    <t>Renewable energy land use planning</t>
  </si>
  <si>
    <t>Planeamento territorial das energias renováveis</t>
  </si>
  <si>
    <t>Monitoring</t>
  </si>
  <si>
    <t>Monitorização</t>
  </si>
  <si>
    <t>Regulamentation</t>
  </si>
  <si>
    <t>Regulamentação</t>
  </si>
  <si>
    <t>Plano de Acção para a Energia Sustentável nas Ilhas (ISEAP)</t>
  </si>
  <si>
    <t>Transpordi ja liikumise planeerimine</t>
  </si>
  <si>
    <t>Energeetika infrastruktuuri planeerimine</t>
  </si>
  <si>
    <t>Taastuvenergia maakasutuse planeerimine</t>
  </si>
  <si>
    <t>Seire</t>
  </si>
  <si>
    <t>Seadusandlus</t>
  </si>
  <si>
    <t>Jordbruk, skogsbruk och fiske</t>
  </si>
  <si>
    <t>Utvinning av mineral</t>
  </si>
  <si>
    <t>Vattenförsörjning; avloppsrening, avfallshantering och sanering</t>
  </si>
  <si>
    <t>Byggverksamhet</t>
  </si>
  <si>
    <t>Bioenergi (biomassa)</t>
  </si>
  <si>
    <t>Distributionsförluster och egen användning</t>
  </si>
  <si>
    <t>Regional och lokal strategisk planering</t>
  </si>
  <si>
    <t>Planering för markanvändning</t>
  </si>
  <si>
    <t>Kurser och utbildning</t>
  </si>
  <si>
    <t>Mätning och uppföljning</t>
  </si>
</sst>
</file>

<file path=xl/styles.xml><?xml version="1.0" encoding="utf-8"?>
<styleSheet xmlns="http://schemas.openxmlformats.org/spreadsheetml/2006/main">
  <numFmts count="2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quot;Sim&quot;;&quot;Sim&quot;;&quot;Não&quot;"/>
    <numFmt numFmtId="174" formatCode="&quot;Verdadeiro&quot;;&quot;Verdadeiro&quot;;&quot;Falso&quot;"/>
    <numFmt numFmtId="175" formatCode="&quot;Activado&quot;;&quot;Activado&quot;;&quot;Desactivado&quot;"/>
    <numFmt numFmtId="176" formatCode="[$€-2]\ #,##0.00_);[Red]\([$€-2]\ #,##0.00\)"/>
    <numFmt numFmtId="177" formatCode="#,##0.0"/>
  </numFmts>
  <fonts count="90">
    <font>
      <sz val="11"/>
      <color indexed="8"/>
      <name val="Calibri"/>
      <family val="2"/>
    </font>
    <font>
      <b/>
      <sz val="26"/>
      <color indexed="9"/>
      <name val="Calibri"/>
      <family val="2"/>
    </font>
    <font>
      <sz val="9"/>
      <color indexed="8"/>
      <name val="Calibri"/>
      <family val="2"/>
    </font>
    <font>
      <u val="single"/>
      <sz val="10"/>
      <color indexed="12"/>
      <name val="Arial"/>
      <family val="2"/>
    </font>
    <font>
      <b/>
      <sz val="9"/>
      <name val="Tahoma"/>
      <family val="2"/>
    </font>
    <font>
      <sz val="11"/>
      <name val="Tahoma"/>
      <family val="2"/>
    </font>
    <font>
      <sz val="9"/>
      <name val="Tahoma"/>
      <family val="2"/>
    </font>
    <font>
      <b/>
      <sz val="22"/>
      <color indexed="9"/>
      <name val="Calibri"/>
      <family val="2"/>
    </font>
    <font>
      <vertAlign val="subscript"/>
      <sz val="9"/>
      <color indexed="8"/>
      <name val="Calibri"/>
      <family val="2"/>
    </font>
    <font>
      <sz val="11"/>
      <name val="Calibri"/>
      <family val="2"/>
    </font>
    <font>
      <b/>
      <sz val="11"/>
      <color indexed="8"/>
      <name val="Calibri"/>
      <family val="2"/>
    </font>
    <font>
      <b/>
      <sz val="11"/>
      <color indexed="9"/>
      <name val="Calibri"/>
      <family val="2"/>
    </font>
    <font>
      <b/>
      <sz val="22"/>
      <color indexed="8"/>
      <name val="Calibri"/>
      <family val="2"/>
    </font>
    <font>
      <sz val="22"/>
      <color indexed="8"/>
      <name val="Calibri"/>
      <family val="2"/>
    </font>
    <font>
      <sz val="12"/>
      <color indexed="8"/>
      <name val="Calibri"/>
      <family val="2"/>
    </font>
    <font>
      <b/>
      <sz val="11"/>
      <color indexed="10"/>
      <name val="Calibri"/>
      <family val="2"/>
    </font>
    <font>
      <b/>
      <sz val="9"/>
      <color indexed="8"/>
      <name val="Calibri"/>
      <family val="2"/>
    </font>
    <font>
      <sz val="9"/>
      <name val="Calibri"/>
      <family val="2"/>
    </font>
    <font>
      <sz val="10"/>
      <name val="Calibri"/>
      <family val="2"/>
    </font>
    <font>
      <sz val="8"/>
      <name val="Calibri"/>
      <family val="2"/>
    </font>
    <font>
      <b/>
      <sz val="11"/>
      <name val="Calibri"/>
      <family val="2"/>
    </font>
    <font>
      <sz val="12"/>
      <name val="Calibri"/>
      <family val="2"/>
    </font>
    <font>
      <b/>
      <sz val="10"/>
      <name val="Calibri"/>
      <family val="2"/>
    </font>
    <font>
      <b/>
      <i/>
      <sz val="11"/>
      <name val="Calibri"/>
      <family val="2"/>
    </font>
    <font>
      <sz val="11"/>
      <color indexed="10"/>
      <name val="Calibri"/>
      <family val="2"/>
    </font>
    <font>
      <b/>
      <sz val="12"/>
      <name val="Calibri"/>
      <family val="2"/>
    </font>
    <font>
      <i/>
      <sz val="12"/>
      <name val="Calibri"/>
      <family val="2"/>
    </font>
    <font>
      <sz val="16"/>
      <name val="Calibri"/>
      <family val="2"/>
    </font>
    <font>
      <sz val="14"/>
      <color indexed="8"/>
      <name val="Calibri"/>
      <family val="2"/>
    </font>
    <font>
      <b/>
      <sz val="12"/>
      <color indexed="8"/>
      <name val="Calibri"/>
      <family val="2"/>
    </font>
    <font>
      <b/>
      <sz val="26"/>
      <color indexed="8"/>
      <name val="Calibri"/>
      <family val="2"/>
    </font>
    <font>
      <i/>
      <sz val="26"/>
      <color indexed="8"/>
      <name val="Calibri"/>
      <family val="2"/>
    </font>
    <font>
      <sz val="20"/>
      <color indexed="56"/>
      <name val="Calibri"/>
      <family val="2"/>
    </font>
    <font>
      <sz val="24"/>
      <color indexed="8"/>
      <name val="Calibri"/>
      <family val="2"/>
    </font>
    <font>
      <b/>
      <sz val="24"/>
      <color indexed="8"/>
      <name val="Calibri"/>
      <family val="2"/>
    </font>
    <font>
      <b/>
      <sz val="24"/>
      <name val="Calibri"/>
      <family val="2"/>
    </font>
    <font>
      <sz val="24"/>
      <name val="Calibri"/>
      <family val="2"/>
    </font>
    <font>
      <b/>
      <sz val="28"/>
      <color indexed="30"/>
      <name val="Calibri"/>
      <family val="2"/>
    </font>
    <font>
      <sz val="28"/>
      <color indexed="30"/>
      <name val="Calibri"/>
      <family val="2"/>
    </font>
    <font>
      <sz val="18"/>
      <color indexed="8"/>
      <name val="Calibri"/>
      <family val="2"/>
    </font>
    <font>
      <b/>
      <sz val="14"/>
      <color indexed="8"/>
      <name val="Calibri"/>
      <family val="2"/>
    </font>
    <font>
      <sz val="16"/>
      <color indexed="56"/>
      <name val="Calibri"/>
      <family val="2"/>
    </font>
    <font>
      <strike/>
      <sz val="10"/>
      <name val="Calibri"/>
      <family val="2"/>
    </font>
    <font>
      <i/>
      <sz val="11"/>
      <color indexed="10"/>
      <name val="Calibri"/>
      <family val="2"/>
    </font>
    <font>
      <sz val="16"/>
      <color indexed="48"/>
      <name val="Calibri"/>
      <family val="2"/>
    </font>
    <font>
      <sz val="10"/>
      <color indexed="48"/>
      <name val="Calibri"/>
      <family val="2"/>
    </font>
    <font>
      <sz val="10"/>
      <color indexed="10"/>
      <name val="Calibri"/>
      <family val="2"/>
    </font>
    <font>
      <b/>
      <i/>
      <u val="single"/>
      <sz val="12"/>
      <color indexed="23"/>
      <name val="Calibri"/>
      <family val="2"/>
    </font>
    <font>
      <b/>
      <sz val="26"/>
      <name val="Calibri"/>
      <family val="2"/>
    </font>
    <font>
      <sz val="26"/>
      <name val="Calibri"/>
      <family val="2"/>
    </font>
    <font>
      <sz val="18"/>
      <name val="Calibri"/>
      <family val="2"/>
    </font>
    <font>
      <b/>
      <sz val="28"/>
      <color indexed="8"/>
      <name val="Calibri"/>
      <family val="2"/>
    </font>
    <font>
      <b/>
      <sz val="16"/>
      <color indexed="8"/>
      <name val="Calibri"/>
      <family val="2"/>
    </font>
    <font>
      <b/>
      <sz val="28"/>
      <color indexed="49"/>
      <name val="Calibri"/>
      <family val="2"/>
    </font>
    <font>
      <b/>
      <sz val="28"/>
      <name val="Calibri"/>
      <family val="2"/>
    </font>
    <font>
      <sz val="28"/>
      <name val="Calibri"/>
      <family val="2"/>
    </font>
    <font>
      <b/>
      <sz val="36"/>
      <color indexed="30"/>
      <name val="Calibri"/>
      <family val="2"/>
    </font>
    <font>
      <b/>
      <sz val="22"/>
      <name val="Calibri"/>
      <family val="2"/>
    </font>
    <font>
      <b/>
      <sz val="9"/>
      <name val="Calibri"/>
      <family val="2"/>
    </font>
    <font>
      <i/>
      <sz val="9"/>
      <color indexed="10"/>
      <name val="Calibri"/>
      <family val="2"/>
    </font>
    <font>
      <sz val="9"/>
      <color indexed="10"/>
      <name val="Calibri"/>
      <family val="2"/>
    </font>
    <font>
      <sz val="9"/>
      <color indexed="48"/>
      <name val="Calibri"/>
      <family val="2"/>
    </font>
    <font>
      <i/>
      <sz val="11"/>
      <color indexed="23"/>
      <name val="Calibri"/>
      <family val="2"/>
    </font>
    <font>
      <b/>
      <sz val="14"/>
      <name val="Calibri"/>
      <family val="2"/>
    </font>
    <font>
      <sz val="14"/>
      <name val="Calibri"/>
      <family val="2"/>
    </font>
    <font>
      <b/>
      <sz val="18"/>
      <color indexed="30"/>
      <name val="Calibri"/>
      <family val="2"/>
    </font>
    <font>
      <i/>
      <sz val="11"/>
      <name val="Calibri"/>
      <family val="2"/>
    </font>
    <font>
      <u val="single"/>
      <sz val="12"/>
      <color indexed="12"/>
      <name val="Calibri"/>
      <family val="2"/>
    </font>
    <font>
      <b/>
      <sz val="16"/>
      <name val="Calibri"/>
      <family val="2"/>
    </font>
    <font>
      <b/>
      <sz val="20"/>
      <name val="Calibri"/>
      <family val="2"/>
    </font>
    <font>
      <sz val="14"/>
      <color indexed="10"/>
      <name val="Calibri"/>
      <family val="2"/>
    </font>
    <font>
      <b/>
      <sz val="12"/>
      <color indexed="8"/>
      <name val="Times New Roman"/>
      <family val="1"/>
    </font>
    <font>
      <b/>
      <vertAlign val="subscript"/>
      <sz val="12"/>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b/>
      <sz val="18"/>
      <color indexed="56"/>
      <name val="Cambria"/>
      <family val="2"/>
    </font>
    <font>
      <sz val="9"/>
      <color indexed="30"/>
      <name val="Calibri"/>
      <family val="2"/>
    </font>
    <font>
      <sz val="12"/>
      <color indexed="8"/>
      <name val="Times New Roman"/>
      <family val="1"/>
    </font>
    <font>
      <sz val="8"/>
      <name val="Tahoma"/>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41"/>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bottom/>
    </border>
    <border>
      <left style="thin"/>
      <right/>
      <top style="thin"/>
      <bottom style="thin"/>
    </border>
    <border>
      <left/>
      <right/>
      <top/>
      <bottom style="thin"/>
    </border>
    <border>
      <left style="thin"/>
      <right style="thin"/>
      <top/>
      <bottom style="thin"/>
    </border>
    <border>
      <left/>
      <right style="thin"/>
      <top style="thin"/>
      <bottom style="thin"/>
    </border>
    <border>
      <left style="thin"/>
      <right style="thin"/>
      <top style="thin"/>
      <bottom/>
    </border>
    <border>
      <left/>
      <right style="thin"/>
      <top/>
      <bottom/>
    </border>
    <border>
      <left/>
      <right/>
      <top style="thin"/>
      <bottom style="thin"/>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thin"/>
      <right style="thin"/>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3" fillId="12"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4" fillId="0" borderId="1" applyNumberFormat="0" applyFill="0" applyAlignment="0" applyProtection="0"/>
    <xf numFmtId="0" fontId="75" fillId="0" borderId="2" applyNumberFormat="0" applyFill="0" applyAlignment="0" applyProtection="0"/>
    <xf numFmtId="0" fontId="76" fillId="0" borderId="3" applyNumberFormat="0" applyFill="0" applyAlignment="0" applyProtection="0"/>
    <xf numFmtId="0" fontId="76" fillId="0" borderId="0" applyNumberFormat="0" applyFill="0" applyBorder="0" applyAlignment="0" applyProtection="0"/>
    <xf numFmtId="0" fontId="77" fillId="16" borderId="4" applyNumberFormat="0" applyAlignment="0" applyProtection="0"/>
    <xf numFmtId="0" fontId="78" fillId="0" borderId="5" applyNumberFormat="0" applyFill="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20" borderId="0" applyNumberFormat="0" applyBorder="0" applyAlignment="0" applyProtection="0"/>
    <xf numFmtId="0" fontId="79" fillId="4" borderId="0" applyNumberFormat="0" applyBorder="0" applyAlignment="0" applyProtection="0"/>
    <xf numFmtId="0" fontId="80" fillId="7" borderId="4" applyNumberFormat="0" applyAlignment="0" applyProtection="0"/>
    <xf numFmtId="0" fontId="3" fillId="0" borderId="0" applyNumberFormat="0" applyFill="0" applyBorder="0" applyAlignment="0" applyProtection="0"/>
    <xf numFmtId="0" fontId="82"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1" fillId="0" borderId="0" applyNumberFormat="0" applyFill="0" applyBorder="0" applyAlignment="0" applyProtection="0"/>
    <xf numFmtId="0" fontId="83"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84" fillId="16" borderId="7" applyNumberFormat="0" applyAlignment="0" applyProtection="0"/>
    <xf numFmtId="0" fontId="24" fillId="0" borderId="0" applyNumberFormat="0" applyFill="0" applyBorder="0" applyAlignment="0" applyProtection="0"/>
    <xf numFmtId="0" fontId="62" fillId="0" borderId="0" applyNumberFormat="0" applyFill="0" applyBorder="0" applyAlignment="0" applyProtection="0"/>
    <xf numFmtId="0" fontId="85" fillId="0" borderId="0" applyNumberFormat="0" applyFill="0" applyBorder="0" applyAlignment="0" applyProtection="0"/>
    <xf numFmtId="0" fontId="1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23" borderId="9" applyNumberFormat="0" applyAlignment="0" applyProtection="0"/>
  </cellStyleXfs>
  <cellXfs count="367">
    <xf numFmtId="0" fontId="0" fillId="0" borderId="0" xfId="0" applyAlignment="1">
      <alignment/>
    </xf>
    <xf numFmtId="0" fontId="12" fillId="0" borderId="0" xfId="0" applyFont="1" applyAlignment="1" applyProtection="1">
      <alignment/>
      <protection/>
    </xf>
    <xf numFmtId="0" fontId="12" fillId="0" borderId="0" xfId="0" applyFont="1" applyAlignment="1">
      <alignment/>
    </xf>
    <xf numFmtId="0" fontId="13" fillId="0" borderId="0" xfId="0" applyFont="1" applyAlignment="1">
      <alignment vertical="center" wrapText="1"/>
    </xf>
    <xf numFmtId="0" fontId="10" fillId="0" borderId="0" xfId="0" applyFont="1" applyAlignment="1" applyProtection="1">
      <alignment/>
      <protection/>
    </xf>
    <xf numFmtId="0" fontId="10" fillId="0" borderId="0" xfId="0" applyFont="1" applyAlignment="1">
      <alignment/>
    </xf>
    <xf numFmtId="0" fontId="14" fillId="0" borderId="0" xfId="0" applyFont="1" applyAlignment="1">
      <alignment vertical="center" wrapText="1"/>
    </xf>
    <xf numFmtId="0" fontId="15" fillId="10" borderId="10" xfId="0" applyFont="1" applyFill="1" applyBorder="1" applyAlignment="1" applyProtection="1">
      <alignment horizontal="center" vertical="center" wrapText="1"/>
      <protection locked="0"/>
    </xf>
    <xf numFmtId="0" fontId="10" fillId="0" borderId="0" xfId="0" applyFont="1" applyAlignment="1">
      <alignment horizontal="center" vertical="center" wrapText="1"/>
    </xf>
    <xf numFmtId="0" fontId="2" fillId="6" borderId="10" xfId="0" applyFont="1" applyFill="1" applyBorder="1" applyAlignment="1" applyProtection="1">
      <alignment horizontal="left" vertical="center" wrapText="1"/>
      <protection locked="0"/>
    </xf>
    <xf numFmtId="0" fontId="2" fillId="0" borderId="0" xfId="0" applyFont="1" applyAlignment="1">
      <alignment horizontal="left" vertical="center" wrapText="1"/>
    </xf>
    <xf numFmtId="0" fontId="16" fillId="0" borderId="0" xfId="0" applyFont="1" applyAlignment="1">
      <alignment horizontal="left" vertical="center" wrapText="1"/>
    </xf>
    <xf numFmtId="0" fontId="17" fillId="6" borderId="10" xfId="0" applyFont="1" applyFill="1" applyBorder="1" applyAlignment="1" applyProtection="1">
      <alignment horizontal="left" vertical="center" wrapText="1"/>
      <protection locked="0"/>
    </xf>
    <xf numFmtId="0" fontId="0" fillId="0" borderId="0" xfId="0" applyFont="1" applyAlignment="1" applyProtection="1">
      <alignment vertical="center" wrapText="1"/>
      <protection/>
    </xf>
    <xf numFmtId="0" fontId="0" fillId="0" borderId="0" xfId="0" applyFont="1" applyAlignment="1">
      <alignment vertical="center" wrapText="1"/>
    </xf>
    <xf numFmtId="0" fontId="0" fillId="0" borderId="0" xfId="0" applyAlignment="1">
      <alignment vertical="center" wrapText="1"/>
    </xf>
    <xf numFmtId="0" fontId="9"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protection locked="0"/>
    </xf>
    <xf numFmtId="3" fontId="9" fillId="0" borderId="10" xfId="0" applyNumberFormat="1" applyFont="1" applyBorder="1" applyAlignment="1" applyProtection="1">
      <alignment horizontal="right" vertical="center" wrapText="1"/>
      <protection locked="0"/>
    </xf>
    <xf numFmtId="0" fontId="2" fillId="24" borderId="10" xfId="0" applyFont="1" applyFill="1" applyBorder="1" applyAlignment="1" applyProtection="1">
      <alignment horizontal="left" vertical="center" wrapText="1"/>
      <protection/>
    </xf>
    <xf numFmtId="0" fontId="18" fillId="0" borderId="0" xfId="0" applyFont="1" applyBorder="1" applyAlignment="1" applyProtection="1">
      <alignment vertical="center"/>
      <protection/>
    </xf>
    <xf numFmtId="0" fontId="18" fillId="0" borderId="0" xfId="0" applyFont="1" applyFill="1" applyBorder="1" applyAlignment="1" applyProtection="1">
      <alignment vertical="center"/>
      <protection/>
    </xf>
    <xf numFmtId="0" fontId="19" fillId="0" borderId="0" xfId="0" applyFont="1" applyBorder="1" applyAlignment="1" applyProtection="1">
      <alignment horizontal="justify" vertical="center"/>
      <protection/>
    </xf>
    <xf numFmtId="0" fontId="20" fillId="0" borderId="0" xfId="0" applyFont="1" applyBorder="1" applyAlignment="1" applyProtection="1">
      <alignment horizontal="justify" vertical="center"/>
      <protection/>
    </xf>
    <xf numFmtId="0" fontId="20" fillId="0" borderId="0" xfId="0" applyFont="1" applyBorder="1" applyAlignment="1" applyProtection="1">
      <alignment horizontal="left" vertical="center" wrapText="1"/>
      <protection/>
    </xf>
    <xf numFmtId="0" fontId="20" fillId="0" borderId="0" xfId="0" applyFont="1" applyAlignment="1" applyProtection="1">
      <alignment horizontal="justify" vertical="center"/>
      <protection/>
    </xf>
    <xf numFmtId="0" fontId="0" fillId="0" borderId="0" xfId="0" applyAlignment="1" applyProtection="1">
      <alignment vertical="center"/>
      <protection/>
    </xf>
    <xf numFmtId="0" fontId="21" fillId="0" borderId="0" xfId="0" applyFont="1" applyBorder="1" applyAlignment="1" applyProtection="1">
      <alignment vertical="center"/>
      <protection/>
    </xf>
    <xf numFmtId="0" fontId="21" fillId="0" borderId="0" xfId="0" applyFont="1" applyAlignment="1" applyProtection="1">
      <alignment horizontal="justify" vertical="center"/>
      <protection/>
    </xf>
    <xf numFmtId="0" fontId="18" fillId="0" borderId="0" xfId="0" applyFont="1" applyAlignment="1" applyProtection="1">
      <alignment vertical="center"/>
      <protection/>
    </xf>
    <xf numFmtId="0" fontId="20" fillId="0" borderId="0" xfId="0" applyFont="1" applyBorder="1" applyAlignment="1" applyProtection="1">
      <alignment vertical="center"/>
      <protection/>
    </xf>
    <xf numFmtId="0" fontId="21" fillId="0" borderId="0" xfId="0" applyFont="1" applyBorder="1" applyAlignment="1" applyProtection="1">
      <alignment horizontal="right" vertical="center"/>
      <protection/>
    </xf>
    <xf numFmtId="0" fontId="9" fillId="0" borderId="0" xfId="0" applyFont="1" applyBorder="1" applyAlignment="1" applyProtection="1">
      <alignment vertical="center"/>
      <protection/>
    </xf>
    <xf numFmtId="0" fontId="22" fillId="23" borderId="10" xfId="0" applyFont="1" applyFill="1" applyBorder="1" applyAlignment="1" applyProtection="1">
      <alignment horizontal="center" vertical="center" wrapText="1"/>
      <protection/>
    </xf>
    <xf numFmtId="0" fontId="9" fillId="0" borderId="10" xfId="0" applyFont="1" applyBorder="1" applyAlignment="1" applyProtection="1">
      <alignment vertical="center" wrapText="1"/>
      <protection/>
    </xf>
    <xf numFmtId="3" fontId="20" fillId="23" borderId="10" xfId="0" applyNumberFormat="1" applyFont="1" applyFill="1" applyBorder="1" applyAlignment="1" applyProtection="1">
      <alignment horizontal="right" vertical="center"/>
      <protection/>
    </xf>
    <xf numFmtId="0" fontId="23" fillId="0" borderId="0" xfId="0" applyFont="1" applyBorder="1" applyAlignment="1" applyProtection="1">
      <alignment vertical="center" wrapText="1"/>
      <protection/>
    </xf>
    <xf numFmtId="0" fontId="22" fillId="0" borderId="0" xfId="0" applyFont="1" applyFill="1" applyBorder="1" applyAlignment="1" applyProtection="1">
      <alignment vertical="center"/>
      <protection/>
    </xf>
    <xf numFmtId="0" fontId="24" fillId="0" borderId="0" xfId="0" applyFont="1" applyFill="1" applyBorder="1" applyAlignment="1" applyProtection="1">
      <alignment horizontal="justify" vertical="center" wrapText="1"/>
      <protection/>
    </xf>
    <xf numFmtId="0" fontId="20" fillId="0" borderId="0" xfId="0" applyFont="1" applyBorder="1" applyAlignment="1" applyProtection="1">
      <alignment horizontal="justify" vertical="center" wrapText="1"/>
      <protection/>
    </xf>
    <xf numFmtId="0" fontId="9" fillId="0" borderId="0" xfId="0" applyFont="1" applyFill="1" applyBorder="1" applyAlignment="1" applyProtection="1">
      <alignment horizontal="justify" vertical="center" wrapText="1"/>
      <protection/>
    </xf>
    <xf numFmtId="0" fontId="9" fillId="0" borderId="0" xfId="0" applyFont="1" applyBorder="1" applyAlignment="1" applyProtection="1">
      <alignment vertical="center" wrapText="1"/>
      <protection/>
    </xf>
    <xf numFmtId="0" fontId="25" fillId="0" borderId="0" xfId="0" applyFont="1" applyBorder="1" applyAlignment="1" applyProtection="1">
      <alignment vertical="center"/>
      <protection/>
    </xf>
    <xf numFmtId="0" fontId="26" fillId="0" borderId="0" xfId="0" applyFont="1" applyAlignment="1" applyProtection="1">
      <alignment horizontal="right" vertical="center"/>
      <protection/>
    </xf>
    <xf numFmtId="0" fontId="2" fillId="6" borderId="10" xfId="0" applyFont="1" applyFill="1" applyBorder="1" applyAlignment="1" applyProtection="1">
      <alignment horizontal="left" vertical="center" wrapText="1"/>
      <protection locked="0"/>
    </xf>
    <xf numFmtId="0" fontId="27" fillId="0" borderId="0" xfId="0" applyFont="1" applyBorder="1" applyAlignment="1" applyProtection="1">
      <alignment horizontal="right" vertical="center"/>
      <protection/>
    </xf>
    <xf numFmtId="0" fontId="28" fillId="0" borderId="0" xfId="0" applyFont="1" applyAlignment="1" applyProtection="1">
      <alignment vertical="center" wrapText="1"/>
      <protection/>
    </xf>
    <xf numFmtId="0" fontId="0" fillId="0" borderId="0" xfId="0" applyFont="1" applyFill="1" applyBorder="1" applyAlignment="1" applyProtection="1">
      <alignment horizontal="left" vertical="center" wrapText="1"/>
      <protection/>
    </xf>
    <xf numFmtId="0" fontId="29" fillId="0" borderId="10" xfId="0" applyFont="1" applyFill="1" applyBorder="1" applyAlignment="1" applyProtection="1">
      <alignment horizontal="left" vertical="center" wrapText="1"/>
      <protection/>
    </xf>
    <xf numFmtId="0" fontId="29" fillId="0" borderId="10" xfId="0" applyFont="1" applyFill="1" applyBorder="1" applyAlignment="1" applyProtection="1">
      <alignment vertical="center" wrapText="1"/>
      <protection/>
    </xf>
    <xf numFmtId="172" fontId="0" fillId="6" borderId="10" xfId="0" applyNumberFormat="1" applyFill="1" applyBorder="1" applyAlignment="1" applyProtection="1">
      <alignment/>
      <protection locked="0"/>
    </xf>
    <xf numFmtId="172" fontId="9" fillId="6" borderId="10" xfId="0" applyNumberFormat="1" applyFont="1" applyFill="1" applyBorder="1" applyAlignment="1" applyProtection="1">
      <alignment horizontal="right" vertical="center"/>
      <protection locked="0"/>
    </xf>
    <xf numFmtId="172" fontId="9" fillId="6" borderId="10" xfId="0" applyNumberFormat="1" applyFont="1" applyFill="1" applyBorder="1" applyAlignment="1" applyProtection="1">
      <alignment/>
      <protection locked="0"/>
    </xf>
    <xf numFmtId="0" fontId="0" fillId="0" borderId="0" xfId="0" applyFill="1" applyAlignment="1" applyProtection="1">
      <alignment horizontal="left"/>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3" fontId="29" fillId="16" borderId="10" xfId="0" applyNumberFormat="1" applyFont="1" applyFill="1" applyBorder="1" applyAlignment="1" applyProtection="1">
      <alignment horizontal="right" vertical="center"/>
      <protection/>
    </xf>
    <xf numFmtId="0" fontId="10" fillId="16" borderId="11" xfId="0" applyFont="1" applyFill="1" applyBorder="1" applyAlignment="1" applyProtection="1">
      <alignment horizontal="center" vertical="center" wrapText="1"/>
      <protection/>
    </xf>
    <xf numFmtId="0" fontId="0" fillId="0" borderId="0" xfId="0" applyFill="1" applyAlignment="1" applyProtection="1">
      <alignment/>
      <protection/>
    </xf>
    <xf numFmtId="3" fontId="10" fillId="0" borderId="0" xfId="0" applyNumberFormat="1" applyFont="1" applyFill="1" applyBorder="1" applyAlignment="1" applyProtection="1">
      <alignment horizontal="right" vertical="center"/>
      <protection/>
    </xf>
    <xf numFmtId="3" fontId="0" fillId="0" borderId="0" xfId="0" applyNumberFormat="1" applyFont="1" applyFill="1" applyAlignment="1" applyProtection="1">
      <alignment vertical="center"/>
      <protection/>
    </xf>
    <xf numFmtId="3" fontId="10" fillId="0" borderId="0" xfId="0" applyNumberFormat="1" applyFont="1" applyFill="1" applyBorder="1" applyAlignment="1" applyProtection="1">
      <alignment horizontal="right" vertical="center" wrapText="1"/>
      <protection/>
    </xf>
    <xf numFmtId="3" fontId="29" fillId="16" borderId="10" xfId="0" applyNumberFormat="1" applyFont="1" applyFill="1" applyBorder="1" applyAlignment="1" applyProtection="1">
      <alignment horizontal="right" vertical="center" wrapText="1"/>
      <protection/>
    </xf>
    <xf numFmtId="3" fontId="20" fillId="0" borderId="0" xfId="0" applyNumberFormat="1" applyFont="1" applyFill="1" applyBorder="1" applyAlignment="1" applyProtection="1">
      <alignment horizontal="center" vertical="center" wrapText="1"/>
      <protection/>
    </xf>
    <xf numFmtId="0" fontId="20" fillId="16" borderId="10" xfId="0" applyFont="1" applyFill="1" applyBorder="1" applyAlignment="1" applyProtection="1">
      <alignment horizontal="left" vertical="center" wrapText="1"/>
      <protection/>
    </xf>
    <xf numFmtId="0" fontId="9" fillId="0" borderId="0" xfId="0" applyFont="1" applyFill="1" applyAlignment="1" applyProtection="1">
      <alignment vertical="center"/>
      <protection/>
    </xf>
    <xf numFmtId="0" fontId="9" fillId="0" borderId="0" xfId="0" applyFont="1" applyFill="1" applyAlignment="1" applyProtection="1">
      <alignment horizontal="left" vertical="center"/>
      <protection/>
    </xf>
    <xf numFmtId="3" fontId="25" fillId="16" borderId="10" xfId="0" applyNumberFormat="1" applyFont="1" applyFill="1" applyBorder="1" applyAlignment="1" applyProtection="1">
      <alignment horizontal="right" vertical="center" wrapText="1"/>
      <protection/>
    </xf>
    <xf numFmtId="3" fontId="25" fillId="16" borderId="10" xfId="0" applyNumberFormat="1" applyFont="1" applyFill="1" applyBorder="1" applyAlignment="1" applyProtection="1">
      <alignment horizontal="right" vertical="center"/>
      <protection/>
    </xf>
    <xf numFmtId="0" fontId="20" fillId="16" borderId="12" xfId="0" applyFont="1" applyFill="1" applyBorder="1" applyAlignment="1" applyProtection="1">
      <alignment horizontal="left" vertical="center" wrapText="1"/>
      <protection/>
    </xf>
    <xf numFmtId="9" fontId="29" fillId="16" borderId="10" xfId="54" applyFont="1" applyFill="1" applyBorder="1" applyAlignment="1" applyProtection="1">
      <alignment horizontal="right" vertical="center" wrapText="1"/>
      <protection/>
    </xf>
    <xf numFmtId="3" fontId="10" fillId="0" borderId="0" xfId="0" applyNumberFormat="1" applyFont="1" applyFill="1" applyBorder="1" applyAlignment="1" applyProtection="1">
      <alignment horizontal="center" vertical="center" wrapText="1"/>
      <protection/>
    </xf>
    <xf numFmtId="0" fontId="10" fillId="16" borderId="10" xfId="0" applyFont="1" applyFill="1" applyBorder="1" applyAlignment="1" applyProtection="1">
      <alignment horizontal="left" vertical="center" wrapText="1"/>
      <protection/>
    </xf>
    <xf numFmtId="0" fontId="10" fillId="16" borderId="10" xfId="0" applyFont="1" applyFill="1" applyBorder="1" applyAlignment="1" applyProtection="1">
      <alignment horizontal="center" vertical="center"/>
      <protection/>
    </xf>
    <xf numFmtId="3" fontId="29" fillId="16" borderId="10" xfId="0" applyNumberFormat="1"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20" fillId="16" borderId="10" xfId="0" applyFont="1" applyFill="1" applyBorder="1" applyAlignment="1" applyProtection="1">
      <alignment horizontal="center" vertical="center"/>
      <protection/>
    </xf>
    <xf numFmtId="0" fontId="0" fillId="0" borderId="0" xfId="0" applyFill="1" applyAlignment="1" applyProtection="1">
      <alignment/>
      <protection/>
    </xf>
    <xf numFmtId="3" fontId="21" fillId="16" borderId="10" xfId="0" applyNumberFormat="1" applyFont="1" applyFill="1" applyBorder="1" applyAlignment="1" applyProtection="1">
      <alignment horizontal="right" vertical="center" wrapText="1"/>
      <protection/>
    </xf>
    <xf numFmtId="0" fontId="31" fillId="0" borderId="0" xfId="0" applyFont="1" applyFill="1" applyBorder="1" applyAlignment="1" applyProtection="1">
      <alignment horizontal="right" vertical="center"/>
      <protection/>
    </xf>
    <xf numFmtId="0" fontId="9" fillId="10" borderId="0" xfId="0" applyFont="1" applyFill="1" applyAlignment="1" applyProtection="1">
      <alignment horizontal="center" vertical="center" wrapText="1"/>
      <protection/>
    </xf>
    <xf numFmtId="0" fontId="32" fillId="10" borderId="0" xfId="0" applyFont="1" applyFill="1" applyAlignment="1" applyProtection="1">
      <alignment horizontal="center" vertical="center" wrapText="1"/>
      <protection/>
    </xf>
    <xf numFmtId="0" fontId="31" fillId="10" borderId="0" xfId="0" applyFont="1" applyFill="1" applyBorder="1" applyAlignment="1" applyProtection="1">
      <alignment horizontal="right" vertical="center"/>
      <protection/>
    </xf>
    <xf numFmtId="0" fontId="30" fillId="10" borderId="0" xfId="0" applyFont="1" applyFill="1" applyBorder="1" applyAlignment="1" applyProtection="1">
      <alignment vertical="center"/>
      <protection/>
    </xf>
    <xf numFmtId="0" fontId="9" fillId="10" borderId="0" xfId="0" applyFont="1" applyFill="1" applyAlignment="1" applyProtection="1">
      <alignment vertical="center" wrapText="1"/>
      <protection/>
    </xf>
    <xf numFmtId="0" fontId="18" fillId="10" borderId="0" xfId="0" applyFont="1" applyFill="1" applyBorder="1" applyAlignment="1" applyProtection="1">
      <alignment vertical="center"/>
      <protection/>
    </xf>
    <xf numFmtId="0" fontId="1" fillId="25" borderId="0" xfId="0" applyFont="1" applyFill="1" applyBorder="1" applyAlignment="1" applyProtection="1">
      <alignment vertical="center" wrapText="1"/>
      <protection/>
    </xf>
    <xf numFmtId="0" fontId="32" fillId="0" borderId="0" xfId="0" applyFont="1" applyFill="1" applyAlignment="1" applyProtection="1">
      <alignment horizontal="center" vertical="center" wrapText="1"/>
      <protection/>
    </xf>
    <xf numFmtId="0" fontId="9" fillId="0" borderId="0" xfId="0" applyFont="1" applyFill="1" applyAlignment="1" applyProtection="1">
      <alignment horizontal="center" vertical="center" wrapText="1"/>
      <protection/>
    </xf>
    <xf numFmtId="0" fontId="33" fillId="0" borderId="0" xfId="0" applyFont="1" applyFill="1" applyAlignment="1" applyProtection="1">
      <alignment vertical="center"/>
      <protection/>
    </xf>
    <xf numFmtId="0" fontId="34" fillId="0" borderId="13" xfId="0" applyFont="1" applyFill="1" applyBorder="1" applyAlignment="1" applyProtection="1">
      <alignment horizontal="left" vertical="center"/>
      <protection/>
    </xf>
    <xf numFmtId="0" fontId="34" fillId="0" borderId="13" xfId="0" applyFont="1" applyFill="1" applyBorder="1" applyAlignment="1" applyProtection="1">
      <alignment horizontal="right"/>
      <protection/>
    </xf>
    <xf numFmtId="0" fontId="34" fillId="0" borderId="13" xfId="0" applyFont="1" applyFill="1" applyBorder="1" applyAlignment="1" applyProtection="1">
      <alignment vertical="center"/>
      <protection/>
    </xf>
    <xf numFmtId="0" fontId="34" fillId="0" borderId="0" xfId="0" applyFont="1" applyFill="1" applyBorder="1" applyAlignment="1" applyProtection="1">
      <alignment vertical="center"/>
      <protection/>
    </xf>
    <xf numFmtId="3" fontId="34" fillId="0" borderId="13" xfId="0" applyNumberFormat="1" applyFont="1" applyFill="1" applyBorder="1" applyAlignment="1" applyProtection="1">
      <alignment vertical="center"/>
      <protection/>
    </xf>
    <xf numFmtId="3" fontId="33" fillId="0" borderId="0" xfId="0" applyNumberFormat="1" applyFont="1" applyFill="1" applyAlignment="1" applyProtection="1">
      <alignment vertical="center"/>
      <protection/>
    </xf>
    <xf numFmtId="3" fontId="34" fillId="0" borderId="0" xfId="0" applyNumberFormat="1" applyFont="1" applyFill="1" applyBorder="1" applyAlignment="1" applyProtection="1">
      <alignment vertical="center"/>
      <protection/>
    </xf>
    <xf numFmtId="3" fontId="34" fillId="0" borderId="13" xfId="0" applyNumberFormat="1" applyFont="1" applyFill="1" applyBorder="1" applyAlignment="1" applyProtection="1">
      <alignment horizontal="left" vertical="center"/>
      <protection/>
    </xf>
    <xf numFmtId="3" fontId="34" fillId="0" borderId="13" xfId="0" applyNumberFormat="1" applyFont="1" applyFill="1" applyBorder="1" applyAlignment="1" applyProtection="1">
      <alignment horizontal="right"/>
      <protection/>
    </xf>
    <xf numFmtId="0" fontId="35" fillId="0" borderId="13" xfId="0" applyFont="1" applyFill="1" applyBorder="1" applyAlignment="1" applyProtection="1">
      <alignment horizontal="left" vertical="center"/>
      <protection/>
    </xf>
    <xf numFmtId="3" fontId="35" fillId="0" borderId="13" xfId="0" applyNumberFormat="1" applyFont="1" applyFill="1" applyBorder="1" applyAlignment="1" applyProtection="1">
      <alignment vertical="center"/>
      <protection/>
    </xf>
    <xf numFmtId="0" fontId="35" fillId="0" borderId="13" xfId="0" applyFont="1" applyFill="1" applyBorder="1" applyAlignment="1" applyProtection="1">
      <alignment horizontal="right"/>
      <protection/>
    </xf>
    <xf numFmtId="3" fontId="35" fillId="0" borderId="0" xfId="0" applyNumberFormat="1" applyFont="1" applyFill="1" applyBorder="1" applyAlignment="1" applyProtection="1">
      <alignment vertical="center"/>
      <protection/>
    </xf>
    <xf numFmtId="0" fontId="36" fillId="0" borderId="0" xfId="0" applyFont="1" applyFill="1" applyAlignment="1" applyProtection="1">
      <alignment vertical="center"/>
      <protection/>
    </xf>
    <xf numFmtId="0" fontId="37" fillId="0" borderId="0" xfId="0" applyFont="1" applyBorder="1" applyAlignment="1" applyProtection="1">
      <alignment vertical="center"/>
      <protection/>
    </xf>
    <xf numFmtId="0" fontId="38" fillId="0" borderId="0" xfId="0" applyFont="1" applyBorder="1" applyAlignment="1" applyProtection="1">
      <alignment vertical="center"/>
      <protection/>
    </xf>
    <xf numFmtId="0" fontId="39" fillId="8" borderId="10" xfId="0" applyFont="1" applyFill="1" applyBorder="1" applyAlignment="1" applyProtection="1">
      <alignment horizontal="left" vertical="center" wrapText="1"/>
      <protection locked="0"/>
    </xf>
    <xf numFmtId="0" fontId="40" fillId="6" borderId="10" xfId="0" applyFont="1" applyFill="1" applyBorder="1" applyAlignment="1" applyProtection="1">
      <alignment horizontal="left" vertical="center" wrapText="1"/>
      <protection locked="0"/>
    </xf>
    <xf numFmtId="0" fontId="40" fillId="8" borderId="10" xfId="0" applyFont="1" applyFill="1" applyBorder="1" applyAlignment="1" applyProtection="1">
      <alignment horizontal="left" vertical="center" wrapText="1"/>
      <protection locked="0"/>
    </xf>
    <xf numFmtId="0" fontId="10" fillId="16" borderId="14" xfId="0" applyFont="1" applyFill="1" applyBorder="1" applyAlignment="1" applyProtection="1">
      <alignment horizontal="center" vertical="center" wrapText="1"/>
      <protection/>
    </xf>
    <xf numFmtId="3" fontId="20" fillId="16" borderId="10" xfId="0" applyNumberFormat="1" applyFont="1" applyFill="1" applyBorder="1" applyAlignment="1" applyProtection="1">
      <alignment horizontal="center" vertical="center" wrapText="1"/>
      <protection/>
    </xf>
    <xf numFmtId="0" fontId="10" fillId="16" borderId="10" xfId="0" applyFont="1" applyFill="1" applyBorder="1" applyAlignment="1" applyProtection="1">
      <alignment horizontal="center" vertical="center" wrapText="1"/>
      <protection/>
    </xf>
    <xf numFmtId="0" fontId="10" fillId="16" borderId="12" xfId="0" applyFont="1" applyFill="1" applyBorder="1" applyAlignment="1" applyProtection="1">
      <alignment horizontal="center" vertical="center"/>
      <protection/>
    </xf>
    <xf numFmtId="0" fontId="10" fillId="16" borderId="15" xfId="0" applyFont="1" applyFill="1" applyBorder="1" applyAlignment="1" applyProtection="1">
      <alignment horizontal="center" vertical="center"/>
      <protection/>
    </xf>
    <xf numFmtId="3" fontId="10" fillId="16" borderId="10" xfId="0" applyNumberFormat="1" applyFont="1" applyFill="1" applyBorder="1" applyAlignment="1" applyProtection="1">
      <alignment horizontal="center" vertical="center" wrapText="1"/>
      <protection/>
    </xf>
    <xf numFmtId="0" fontId="20" fillId="16" borderId="10" xfId="0" applyFont="1" applyFill="1" applyBorder="1" applyAlignment="1" applyProtection="1">
      <alignment horizontal="center" vertical="center" wrapText="1"/>
      <protection/>
    </xf>
    <xf numFmtId="0" fontId="37" fillId="0" borderId="0" xfId="0" applyFont="1" applyAlignment="1" applyProtection="1">
      <alignment horizontal="justify" vertical="center"/>
      <protection/>
    </xf>
    <xf numFmtId="0" fontId="7" fillId="25" borderId="0" xfId="0" applyFont="1" applyFill="1" applyBorder="1" applyAlignment="1" applyProtection="1">
      <alignment vertical="center" wrapText="1"/>
      <protection/>
    </xf>
    <xf numFmtId="0" fontId="41" fillId="10" borderId="0" xfId="0" applyFont="1" applyFill="1" applyAlignment="1" applyProtection="1">
      <alignment vertical="center" wrapText="1"/>
      <protection/>
    </xf>
    <xf numFmtId="0" fontId="32" fillId="10" borderId="0" xfId="0" applyFont="1" applyFill="1" applyAlignment="1" applyProtection="1">
      <alignment vertical="center" wrapText="1"/>
      <protection/>
    </xf>
    <xf numFmtId="9" fontId="27" fillId="6" borderId="10" xfId="54" applyFont="1" applyFill="1" applyBorder="1" applyAlignment="1" applyProtection="1">
      <alignment horizontal="center" vertical="center"/>
      <protection locked="0"/>
    </xf>
    <xf numFmtId="3" fontId="25" fillId="6" borderId="10" xfId="0" applyNumberFormat="1" applyFont="1" applyFill="1" applyBorder="1" applyAlignment="1" applyProtection="1">
      <alignment horizontal="right" vertical="center" wrapText="1"/>
      <protection locked="0"/>
    </xf>
    <xf numFmtId="0" fontId="9" fillId="0" borderId="0" xfId="0" applyFont="1" applyAlignment="1" applyProtection="1">
      <alignment horizontal="center" vertical="center" wrapText="1"/>
      <protection/>
    </xf>
    <xf numFmtId="0" fontId="18" fillId="0" borderId="0" xfId="0" applyFont="1" applyBorder="1" applyAlignment="1" applyProtection="1">
      <alignment/>
      <protection/>
    </xf>
    <xf numFmtId="0" fontId="9" fillId="0" borderId="0" xfId="0" applyFont="1" applyAlignment="1" applyProtection="1">
      <alignment vertical="center" wrapText="1"/>
      <protection/>
    </xf>
    <xf numFmtId="0" fontId="9" fillId="0" borderId="0" xfId="0" applyFont="1" applyBorder="1" applyAlignment="1" applyProtection="1">
      <alignment horizontal="center" vertical="center" wrapText="1"/>
      <protection/>
    </xf>
    <xf numFmtId="0" fontId="25" fillId="0" borderId="0" xfId="0" applyFont="1" applyFill="1" applyBorder="1" applyAlignment="1" applyProtection="1">
      <alignment/>
      <protection/>
    </xf>
    <xf numFmtId="0" fontId="25" fillId="0" borderId="0" xfId="0" applyFont="1" applyAlignment="1" applyProtection="1">
      <alignment horizontal="justify"/>
      <protection/>
    </xf>
    <xf numFmtId="0" fontId="25" fillId="0" borderId="0" xfId="0" applyFont="1" applyAlignment="1" applyProtection="1">
      <alignment/>
      <protection/>
    </xf>
    <xf numFmtId="0" fontId="22" fillId="0" borderId="0" xfId="0" applyFont="1" applyAlignment="1" applyProtection="1">
      <alignment/>
      <protection/>
    </xf>
    <xf numFmtId="0" fontId="37" fillId="0" borderId="0" xfId="0" applyFont="1" applyAlignment="1" applyProtection="1">
      <alignment horizontal="justify" vertical="top"/>
      <protection/>
    </xf>
    <xf numFmtId="0" fontId="37" fillId="0" borderId="0" xfId="0" applyFont="1" applyBorder="1" applyAlignment="1" applyProtection="1">
      <alignment vertical="top"/>
      <protection/>
    </xf>
    <xf numFmtId="0" fontId="38" fillId="0" borderId="0" xfId="0" applyFont="1" applyBorder="1" applyAlignment="1" applyProtection="1">
      <alignment/>
      <protection/>
    </xf>
    <xf numFmtId="0" fontId="37" fillId="0" borderId="0" xfId="0" applyFont="1" applyBorder="1" applyAlignment="1" applyProtection="1">
      <alignment horizontal="center"/>
      <protection/>
    </xf>
    <xf numFmtId="0" fontId="25" fillId="0" borderId="0" xfId="0" applyFont="1" applyBorder="1" applyAlignment="1" applyProtection="1">
      <alignment/>
      <protection/>
    </xf>
    <xf numFmtId="0" fontId="27" fillId="0" borderId="0" xfId="0" applyFont="1" applyAlignment="1" applyProtection="1">
      <alignment horizontal="right" vertical="center" wrapText="1"/>
      <protection/>
    </xf>
    <xf numFmtId="0" fontId="27" fillId="0" borderId="0" xfId="0" applyFont="1" applyAlignment="1" applyProtection="1">
      <alignment horizontal="right" vertical="center"/>
      <protection/>
    </xf>
    <xf numFmtId="0" fontId="27" fillId="0" borderId="0" xfId="0" applyFont="1" applyBorder="1" applyAlignment="1" applyProtection="1">
      <alignment/>
      <protection/>
    </xf>
    <xf numFmtId="3" fontId="27" fillId="0" borderId="0" xfId="0" applyNumberFormat="1" applyFont="1" applyBorder="1" applyAlignment="1" applyProtection="1">
      <alignment horizontal="left" vertical="center"/>
      <protection/>
    </xf>
    <xf numFmtId="0" fontId="27" fillId="0" borderId="0" xfId="0" applyFont="1" applyBorder="1" applyAlignment="1" applyProtection="1">
      <alignment horizontal="right" vertical="center" wrapText="1"/>
      <protection/>
    </xf>
    <xf numFmtId="3" fontId="9" fillId="0" borderId="0" xfId="0" applyNumberFormat="1" applyFont="1" applyBorder="1" applyAlignment="1" applyProtection="1">
      <alignment horizontal="left" vertical="center"/>
      <protection/>
    </xf>
    <xf numFmtId="0" fontId="25" fillId="0" borderId="0" xfId="0" applyFont="1" applyFill="1" applyBorder="1" applyAlignment="1" applyProtection="1">
      <alignment vertical="top"/>
      <protection/>
    </xf>
    <xf numFmtId="0" fontId="42" fillId="0" borderId="0" xfId="0" applyFont="1" applyBorder="1" applyAlignment="1" applyProtection="1">
      <alignment/>
      <protection/>
    </xf>
    <xf numFmtId="0" fontId="43" fillId="0" borderId="0" xfId="0" applyFont="1" applyAlignment="1" applyProtection="1">
      <alignment wrapText="1"/>
      <protection/>
    </xf>
    <xf numFmtId="0" fontId="9" fillId="0" borderId="0" xfId="0" applyFont="1" applyBorder="1" applyAlignment="1" applyProtection="1">
      <alignment/>
      <protection/>
    </xf>
    <xf numFmtId="0" fontId="24" fillId="0" borderId="0" xfId="0" applyFont="1" applyBorder="1" applyAlignment="1" applyProtection="1">
      <alignment horizontal="left"/>
      <protection/>
    </xf>
    <xf numFmtId="0" fontId="44" fillId="0" borderId="0" xfId="0" applyFont="1" applyBorder="1" applyAlignment="1" applyProtection="1">
      <alignment horizontal="right"/>
      <protection/>
    </xf>
    <xf numFmtId="0" fontId="45" fillId="0" borderId="0" xfId="0" applyFont="1" applyBorder="1" applyAlignment="1" applyProtection="1">
      <alignment/>
      <protection/>
    </xf>
    <xf numFmtId="0" fontId="37" fillId="0" borderId="0" xfId="0" applyFont="1" applyAlignment="1" applyProtection="1">
      <alignment/>
      <protection/>
    </xf>
    <xf numFmtId="0" fontId="20" fillId="0" borderId="0" xfId="0" applyFont="1" applyFill="1" applyBorder="1" applyAlignment="1" applyProtection="1">
      <alignment horizontal="center"/>
      <protection/>
    </xf>
    <xf numFmtId="0" fontId="18" fillId="0" borderId="0" xfId="0" applyFont="1" applyFill="1" applyBorder="1" applyAlignment="1" applyProtection="1">
      <alignment/>
      <protection/>
    </xf>
    <xf numFmtId="0" fontId="20" fillId="0" borderId="0" xfId="0" applyFont="1" applyFill="1" applyBorder="1" applyAlignment="1" applyProtection="1">
      <alignment/>
      <protection/>
    </xf>
    <xf numFmtId="0" fontId="46" fillId="0" borderId="0" xfId="0" applyFont="1" applyBorder="1" applyAlignment="1" applyProtection="1">
      <alignment/>
      <protection/>
    </xf>
    <xf numFmtId="0" fontId="47" fillId="0" borderId="0" xfId="0" applyFont="1" applyBorder="1" applyAlignment="1" applyProtection="1">
      <alignment vertical="center"/>
      <protection/>
    </xf>
    <xf numFmtId="0" fontId="47" fillId="0" borderId="0" xfId="0" applyFont="1" applyBorder="1" applyAlignment="1" applyProtection="1">
      <alignment horizontal="left" vertical="center"/>
      <protection/>
    </xf>
    <xf numFmtId="3" fontId="21" fillId="0" borderId="10" xfId="0" applyNumberFormat="1" applyFont="1" applyFill="1" applyBorder="1" applyAlignment="1" applyProtection="1">
      <alignment horizontal="right" vertical="center" wrapText="1"/>
      <protection locked="0"/>
    </xf>
    <xf numFmtId="3" fontId="25" fillId="16" borderId="10" xfId="0" applyNumberFormat="1" applyFont="1" applyFill="1" applyBorder="1" applyAlignment="1" applyProtection="1">
      <alignment horizontal="right" vertical="center"/>
      <protection locked="0"/>
    </xf>
    <xf numFmtId="0" fontId="18" fillId="10" borderId="0" xfId="0" applyFont="1" applyFill="1" applyBorder="1" applyAlignment="1" applyProtection="1">
      <alignment horizontal="center" vertical="center"/>
      <protection/>
    </xf>
    <xf numFmtId="0" fontId="48" fillId="10" borderId="0" xfId="0" applyFont="1" applyFill="1" applyBorder="1" applyAlignment="1" applyProtection="1">
      <alignment horizontal="center" vertical="center"/>
      <protection/>
    </xf>
    <xf numFmtId="0" fontId="49" fillId="10" borderId="0" xfId="0" applyFont="1" applyFill="1" applyBorder="1" applyAlignment="1" applyProtection="1">
      <alignment vertical="center" wrapText="1"/>
      <protection/>
    </xf>
    <xf numFmtId="0" fontId="27" fillId="0" borderId="0" xfId="0" applyFont="1" applyAlignment="1" applyProtection="1">
      <alignment horizontal="left" vertical="center"/>
      <protection/>
    </xf>
    <xf numFmtId="3" fontId="21" fillId="6" borderId="10" xfId="0" applyNumberFormat="1" applyFont="1" applyFill="1" applyBorder="1" applyAlignment="1" applyProtection="1">
      <alignment horizontal="right" vertical="center" wrapText="1"/>
      <protection locked="0"/>
    </xf>
    <xf numFmtId="0" fontId="18" fillId="6" borderId="10" xfId="0" applyFont="1" applyFill="1" applyBorder="1" applyAlignment="1" applyProtection="1">
      <alignment horizontal="left" vertical="center"/>
      <protection locked="0"/>
    </xf>
    <xf numFmtId="0" fontId="9" fillId="0" borderId="10" xfId="0" applyFont="1" applyBorder="1" applyAlignment="1" applyProtection="1">
      <alignment vertical="center" wrapText="1"/>
      <protection locked="0"/>
    </xf>
    <xf numFmtId="0" fontId="20" fillId="0" borderId="0" xfId="0" applyFont="1" applyBorder="1" applyAlignment="1" applyProtection="1">
      <alignment/>
      <protection/>
    </xf>
    <xf numFmtId="0" fontId="20" fillId="0" borderId="0" xfId="0" applyFont="1" applyAlignment="1" applyProtection="1">
      <alignment/>
      <protection/>
    </xf>
    <xf numFmtId="0" fontId="21" fillId="0" borderId="0" xfId="0" applyFont="1" applyBorder="1" applyAlignment="1" applyProtection="1">
      <alignment horizontal="center" wrapText="1"/>
      <protection/>
    </xf>
    <xf numFmtId="0" fontId="27" fillId="0" borderId="0" xfId="0" applyFont="1" applyBorder="1" applyAlignment="1" applyProtection="1">
      <alignment horizontal="center"/>
      <protection/>
    </xf>
    <xf numFmtId="0" fontId="50" fillId="0" borderId="0" xfId="0" applyFont="1" applyBorder="1" applyAlignment="1" applyProtection="1">
      <alignment/>
      <protection/>
    </xf>
    <xf numFmtId="0" fontId="18" fillId="0" borderId="0" xfId="0" applyFont="1" applyAlignment="1" applyProtection="1">
      <alignment/>
      <protection/>
    </xf>
    <xf numFmtId="0" fontId="21" fillId="0" borderId="0" xfId="0" applyFont="1" applyBorder="1" applyAlignment="1" applyProtection="1">
      <alignment/>
      <protection/>
    </xf>
    <xf numFmtId="0" fontId="51" fillId="0" borderId="0" xfId="0" applyFont="1" applyFill="1" applyBorder="1" applyAlignment="1" applyProtection="1">
      <alignment horizontal="left" vertical="center"/>
      <protection/>
    </xf>
    <xf numFmtId="0" fontId="0" fillId="0" borderId="0" xfId="0" applyFill="1" applyAlignment="1" applyProtection="1">
      <alignment vertical="center"/>
      <protection/>
    </xf>
    <xf numFmtId="0" fontId="52" fillId="0" borderId="13" xfId="0" applyFont="1" applyFill="1" applyBorder="1" applyAlignment="1" applyProtection="1">
      <alignment horizontal="right"/>
      <protection/>
    </xf>
    <xf numFmtId="0" fontId="10" fillId="16" borderId="15" xfId="0" applyFont="1" applyFill="1" applyBorder="1" applyAlignment="1" applyProtection="1">
      <alignment vertical="center"/>
      <protection/>
    </xf>
    <xf numFmtId="0" fontId="10" fillId="16" borderId="10" xfId="0" applyFont="1" applyFill="1" applyBorder="1" applyAlignment="1" applyProtection="1" quotePrefix="1">
      <alignment horizontal="center" vertical="center" wrapText="1"/>
      <protection/>
    </xf>
    <xf numFmtId="172" fontId="0" fillId="16" borderId="10" xfId="0" applyNumberFormat="1" applyFill="1" applyBorder="1" applyAlignment="1" applyProtection="1">
      <alignment horizontal="center"/>
      <protection/>
    </xf>
    <xf numFmtId="0" fontId="10" fillId="0" borderId="10" xfId="0" applyFont="1" applyFill="1" applyBorder="1" applyAlignment="1" applyProtection="1" quotePrefix="1">
      <alignment horizontal="center" vertical="center" wrapText="1"/>
      <protection/>
    </xf>
    <xf numFmtId="172" fontId="0" fillId="0" borderId="10" xfId="0" applyNumberFormat="1" applyFill="1" applyBorder="1" applyAlignment="1" applyProtection="1">
      <alignment horizontal="center" vertical="center"/>
      <protection/>
    </xf>
    <xf numFmtId="172" fontId="0" fillId="0" borderId="10" xfId="0" applyNumberFormat="1" applyFill="1" applyBorder="1" applyAlignment="1" applyProtection="1">
      <alignment horizontal="center"/>
      <protection/>
    </xf>
    <xf numFmtId="172" fontId="20" fillId="0" borderId="10" xfId="0" applyNumberFormat="1" applyFont="1" applyFill="1" applyBorder="1" applyAlignment="1" applyProtection="1" quotePrefix="1">
      <alignment horizontal="center" vertical="center" wrapText="1"/>
      <protection locked="0"/>
    </xf>
    <xf numFmtId="172" fontId="20" fillId="0" borderId="10" xfId="0" applyNumberFormat="1" applyFont="1" applyFill="1" applyBorder="1" applyAlignment="1" applyProtection="1">
      <alignment horizontal="center" vertical="center"/>
      <protection locked="0"/>
    </xf>
    <xf numFmtId="172" fontId="10" fillId="0" borderId="10" xfId="0" applyNumberFormat="1" applyFont="1" applyFill="1" applyBorder="1" applyAlignment="1" applyProtection="1" quotePrefix="1">
      <alignment horizontal="center" vertical="center" wrapText="1"/>
      <protection locked="0"/>
    </xf>
    <xf numFmtId="172" fontId="10" fillId="0" borderId="10" xfId="0" applyNumberFormat="1" applyFont="1" applyFill="1" applyBorder="1" applyAlignment="1" applyProtection="1">
      <alignment horizontal="center" vertical="center"/>
      <protection locked="0"/>
    </xf>
    <xf numFmtId="0" fontId="29" fillId="0" borderId="10" xfId="0" applyFont="1" applyBorder="1" applyAlignment="1" applyProtection="1">
      <alignment vertical="center"/>
      <protection/>
    </xf>
    <xf numFmtId="0" fontId="0" fillId="0" borderId="0" xfId="0" applyAlignment="1" applyProtection="1">
      <alignment/>
      <protection/>
    </xf>
    <xf numFmtId="0" fontId="14" fillId="0" borderId="0" xfId="0" applyFont="1" applyAlignment="1" applyProtection="1">
      <alignment vertical="center" wrapText="1"/>
      <protection/>
    </xf>
    <xf numFmtId="0" fontId="0" fillId="0" borderId="0" xfId="0" applyAlignment="1" applyProtection="1">
      <alignment/>
      <protection/>
    </xf>
    <xf numFmtId="0" fontId="53" fillId="0" borderId="0" xfId="0" applyFont="1" applyAlignment="1" applyProtection="1">
      <alignment horizontal="justify" vertical="center"/>
      <protection/>
    </xf>
    <xf numFmtId="0" fontId="53" fillId="0" borderId="0" xfId="0" applyFont="1" applyBorder="1" applyAlignment="1" applyProtection="1">
      <alignment vertical="center"/>
      <protection/>
    </xf>
    <xf numFmtId="0" fontId="54" fillId="0" borderId="0" xfId="0" applyFont="1" applyAlignment="1" applyProtection="1">
      <alignment/>
      <protection/>
    </xf>
    <xf numFmtId="0" fontId="55" fillId="0" borderId="0" xfId="0" applyFont="1" applyBorder="1" applyAlignment="1" applyProtection="1">
      <alignment/>
      <protection/>
    </xf>
    <xf numFmtId="0" fontId="2" fillId="24" borderId="12" xfId="0" applyFont="1" applyFill="1" applyBorder="1" applyAlignment="1" applyProtection="1">
      <alignment horizontal="left" vertical="center" wrapText="1"/>
      <protection/>
    </xf>
    <xf numFmtId="0" fontId="2" fillId="6" borderId="10" xfId="0" applyFont="1" applyFill="1" applyBorder="1" applyAlignment="1" applyProtection="1">
      <alignment wrapText="1"/>
      <protection locked="0"/>
    </xf>
    <xf numFmtId="0" fontId="2" fillId="6" borderId="10" xfId="0" applyFont="1" applyFill="1" applyBorder="1" applyAlignment="1" applyProtection="1">
      <alignment wrapText="1"/>
      <protection locked="0"/>
    </xf>
    <xf numFmtId="0" fontId="9" fillId="16" borderId="12" xfId="0" applyFont="1" applyFill="1" applyBorder="1" applyAlignment="1" applyProtection="1">
      <alignment horizontal="left" vertical="center" wrapText="1"/>
      <protection/>
    </xf>
    <xf numFmtId="0" fontId="9" fillId="16" borderId="10" xfId="0" applyFont="1" applyFill="1" applyBorder="1" applyAlignment="1" applyProtection="1">
      <alignment horizontal="left" vertical="center" wrapText="1"/>
      <protection/>
    </xf>
    <xf numFmtId="0" fontId="0" fillId="16" borderId="10" xfId="0" applyFill="1" applyBorder="1" applyAlignment="1" applyProtection="1">
      <alignment vertical="center" wrapText="1"/>
      <protection/>
    </xf>
    <xf numFmtId="3" fontId="14" fillId="16" borderId="10" xfId="0" applyNumberFormat="1" applyFont="1" applyFill="1" applyBorder="1" applyAlignment="1" applyProtection="1">
      <alignment horizontal="right" vertical="center"/>
      <protection/>
    </xf>
    <xf numFmtId="3" fontId="14" fillId="16" borderId="10" xfId="0" applyNumberFormat="1" applyFont="1" applyFill="1" applyBorder="1" applyAlignment="1" applyProtection="1">
      <alignment horizontal="right" vertical="center" wrapText="1"/>
      <protection/>
    </xf>
    <xf numFmtId="9" fontId="14" fillId="16" borderId="10" xfId="54" applyFont="1" applyFill="1" applyBorder="1" applyAlignment="1" applyProtection="1">
      <alignment horizontal="right" vertical="center" wrapText="1"/>
      <protection/>
    </xf>
    <xf numFmtId="1" fontId="14" fillId="16" borderId="10" xfId="54" applyNumberFormat="1" applyFont="1" applyFill="1" applyBorder="1" applyAlignment="1" applyProtection="1">
      <alignment horizontal="right" vertical="center" wrapText="1"/>
      <protection/>
    </xf>
    <xf numFmtId="172" fontId="14" fillId="16" borderId="10" xfId="0" applyNumberFormat="1" applyFont="1" applyFill="1" applyBorder="1" applyAlignment="1" applyProtection="1">
      <alignment horizontal="center" vertical="center"/>
      <protection/>
    </xf>
    <xf numFmtId="172" fontId="0" fillId="16" borderId="10" xfId="0" applyNumberFormat="1" applyFill="1" applyBorder="1" applyAlignment="1" applyProtection="1">
      <alignment vertical="center"/>
      <protection/>
    </xf>
    <xf numFmtId="172" fontId="0" fillId="16" borderId="10" xfId="0" applyNumberFormat="1" applyFill="1" applyBorder="1" applyAlignment="1" applyProtection="1">
      <alignment horizontal="right" vertical="center"/>
      <protection/>
    </xf>
    <xf numFmtId="0" fontId="56" fillId="0" borderId="0" xfId="0" applyFont="1" applyBorder="1" applyAlignment="1" applyProtection="1">
      <alignment vertical="center" wrapText="1"/>
      <protection/>
    </xf>
    <xf numFmtId="0" fontId="57" fillId="24" borderId="10" xfId="0" applyFont="1" applyFill="1" applyBorder="1" applyAlignment="1" applyProtection="1">
      <alignment horizontal="center" vertical="center" wrapText="1"/>
      <protection/>
    </xf>
    <xf numFmtId="0" fontId="11" fillId="25" borderId="10" xfId="0" applyFont="1" applyFill="1" applyBorder="1" applyAlignment="1" applyProtection="1">
      <alignment vertical="center"/>
      <protection/>
    </xf>
    <xf numFmtId="0" fontId="20" fillId="25" borderId="10" xfId="0" applyFont="1" applyFill="1" applyBorder="1" applyAlignment="1" applyProtection="1">
      <alignment horizontal="left" vertical="center"/>
      <protection/>
    </xf>
    <xf numFmtId="0" fontId="20" fillId="25" borderId="10" xfId="0" applyFont="1" applyFill="1" applyBorder="1" applyAlignment="1" applyProtection="1">
      <alignment horizontal="center" vertical="center"/>
      <protection/>
    </xf>
    <xf numFmtId="3" fontId="20" fillId="25" borderId="10" xfId="0" applyNumberFormat="1" applyFont="1" applyFill="1" applyBorder="1" applyAlignment="1" applyProtection="1">
      <alignment horizontal="right" vertical="center"/>
      <protection/>
    </xf>
    <xf numFmtId="0" fontId="29" fillId="0" borderId="10" xfId="0" applyFont="1" applyBorder="1" applyAlignment="1" applyProtection="1">
      <alignment vertical="center" wrapText="1"/>
      <protection/>
    </xf>
    <xf numFmtId="3" fontId="9" fillId="23" borderId="10" xfId="0" applyNumberFormat="1" applyFont="1" applyFill="1" applyBorder="1" applyAlignment="1" applyProtection="1">
      <alignment horizontal="right" vertical="center"/>
      <protection/>
    </xf>
    <xf numFmtId="0" fontId="29" fillId="16" borderId="10" xfId="0" applyFont="1" applyFill="1" applyBorder="1" applyAlignment="1" applyProtection="1">
      <alignment horizontal="center" vertical="center" wrapText="1"/>
      <protection/>
    </xf>
    <xf numFmtId="0" fontId="2" fillId="6" borderId="10" xfId="0" applyNumberFormat="1" applyFont="1" applyFill="1" applyBorder="1" applyAlignment="1" applyProtection="1">
      <alignment horizontal="left" vertical="center" wrapText="1"/>
      <protection locked="0"/>
    </xf>
    <xf numFmtId="0" fontId="58" fillId="0" borderId="0" xfId="0" applyFont="1" applyBorder="1" applyAlignment="1" applyProtection="1">
      <alignment/>
      <protection/>
    </xf>
    <xf numFmtId="0" fontId="59" fillId="0" borderId="0" xfId="0" applyFont="1" applyAlignment="1" applyProtection="1">
      <alignment wrapText="1"/>
      <protection/>
    </xf>
    <xf numFmtId="0" fontId="17" fillId="0" borderId="0" xfId="0" applyFont="1" applyBorder="1" applyAlignment="1" applyProtection="1">
      <alignment/>
      <protection/>
    </xf>
    <xf numFmtId="0" fontId="60" fillId="0" borderId="0" xfId="0" applyFont="1" applyBorder="1" applyAlignment="1" applyProtection="1">
      <alignment horizontal="left"/>
      <protection/>
    </xf>
    <xf numFmtId="0" fontId="61" fillId="0" borderId="0" xfId="0" applyFont="1" applyBorder="1" applyAlignment="1" applyProtection="1">
      <alignment horizontal="right"/>
      <protection/>
    </xf>
    <xf numFmtId="0" fontId="61" fillId="0" borderId="0" xfId="0" applyFont="1" applyBorder="1" applyAlignment="1" applyProtection="1">
      <alignment/>
      <protection/>
    </xf>
    <xf numFmtId="9" fontId="17" fillId="16" borderId="10" xfId="54" applyFont="1" applyFill="1" applyBorder="1" applyAlignment="1" applyProtection="1">
      <alignment horizontal="center" vertical="top"/>
      <protection/>
    </xf>
    <xf numFmtId="0" fontId="9" fillId="0" borderId="10" xfId="0" applyFont="1" applyBorder="1" applyAlignment="1" applyProtection="1">
      <alignment horizontal="left" vertical="center" wrapText="1"/>
      <protection locked="0"/>
    </xf>
    <xf numFmtId="0" fontId="9" fillId="0" borderId="10" xfId="0" applyFont="1" applyBorder="1" applyAlignment="1" applyProtection="1">
      <alignment horizontal="left" vertical="center"/>
      <protection locked="0"/>
    </xf>
    <xf numFmtId="0" fontId="9" fillId="0" borderId="10"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protection locked="0"/>
    </xf>
    <xf numFmtId="0" fontId="9" fillId="0" borderId="10" xfId="0" applyFont="1" applyFill="1" applyBorder="1" applyAlignment="1" applyProtection="1">
      <alignment horizontal="left" vertical="center" wrapText="1"/>
      <protection locked="0"/>
    </xf>
    <xf numFmtId="0" fontId="9" fillId="0" borderId="16" xfId="0" applyFont="1" applyBorder="1" applyAlignment="1" applyProtection="1">
      <alignment vertical="center" wrapText="1"/>
      <protection/>
    </xf>
    <xf numFmtId="0" fontId="9" fillId="0" borderId="10" xfId="0" applyFont="1" applyFill="1" applyBorder="1" applyAlignment="1" applyProtection="1">
      <alignment horizontal="left" vertical="center" wrapText="1"/>
      <protection locked="0"/>
    </xf>
    <xf numFmtId="3" fontId="21" fillId="0" borderId="10" xfId="0" applyNumberFormat="1" applyFont="1" applyFill="1" applyBorder="1" applyAlignment="1" applyProtection="1">
      <alignment horizontal="right" vertical="center" wrapText="1"/>
      <protection/>
    </xf>
    <xf numFmtId="3" fontId="9" fillId="0" borderId="10" xfId="0" applyNumberFormat="1" applyFont="1" applyBorder="1" applyAlignment="1" applyProtection="1">
      <alignment horizontal="right" vertical="center" wrapText="1"/>
      <protection locked="0"/>
    </xf>
    <xf numFmtId="3" fontId="9" fillId="0" borderId="10" xfId="0" applyNumberFormat="1" applyFont="1" applyFill="1" applyBorder="1" applyAlignment="1" applyProtection="1">
      <alignment horizontal="right" vertical="center" wrapText="1"/>
      <protection locked="0"/>
    </xf>
    <xf numFmtId="0" fontId="2" fillId="26" borderId="10" xfId="0" applyFont="1" applyFill="1" applyBorder="1" applyAlignment="1" applyProtection="1">
      <alignment horizontal="left" vertical="center" wrapText="1"/>
      <protection locked="0"/>
    </xf>
    <xf numFmtId="0" fontId="86" fillId="6" borderId="10" xfId="0" applyFont="1" applyFill="1" applyBorder="1" applyAlignment="1" applyProtection="1">
      <alignment horizontal="left" vertical="center" wrapText="1"/>
      <protection locked="0"/>
    </xf>
    <xf numFmtId="0" fontId="71" fillId="16" borderId="10" xfId="0" applyFont="1" applyFill="1" applyBorder="1" applyAlignment="1">
      <alignment horizontal="center" wrapText="1"/>
    </xf>
    <xf numFmtId="0" fontId="14" fillId="16" borderId="10" xfId="0" applyFont="1" applyFill="1" applyBorder="1" applyAlignment="1">
      <alignment wrapText="1"/>
    </xf>
    <xf numFmtId="0" fontId="87" fillId="0" borderId="10" xfId="0" applyFont="1" applyBorder="1" applyAlignment="1">
      <alignment wrapText="1"/>
    </xf>
    <xf numFmtId="3" fontId="87" fillId="0" borderId="10" xfId="0" applyNumberFormat="1" applyFont="1" applyBorder="1" applyAlignment="1">
      <alignment horizontal="right" wrapText="1"/>
    </xf>
    <xf numFmtId="0" fontId="87" fillId="0" borderId="10" xfId="0" applyFont="1" applyBorder="1" applyAlignment="1">
      <alignment horizontal="right" vertical="top" wrapText="1"/>
    </xf>
    <xf numFmtId="0" fontId="71" fillId="0" borderId="10" xfId="0" applyFont="1" applyBorder="1" applyAlignment="1">
      <alignment horizontal="center" wrapText="1"/>
    </xf>
    <xf numFmtId="3" fontId="71" fillId="0" borderId="10" xfId="0" applyNumberFormat="1" applyFont="1" applyBorder="1" applyAlignment="1">
      <alignment horizontal="right" wrapText="1"/>
    </xf>
    <xf numFmtId="3" fontId="87" fillId="0" borderId="10" xfId="0" applyNumberFormat="1" applyFont="1" applyBorder="1" applyAlignment="1">
      <alignment horizontal="right" vertical="top" wrapText="1"/>
    </xf>
    <xf numFmtId="177" fontId="87" fillId="0" borderId="10" xfId="0" applyNumberFormat="1" applyFont="1" applyBorder="1" applyAlignment="1">
      <alignment horizontal="right" wrapText="1"/>
    </xf>
    <xf numFmtId="177" fontId="71" fillId="0" borderId="10" xfId="0" applyNumberFormat="1" applyFont="1" applyBorder="1" applyAlignment="1">
      <alignment horizontal="right" wrapText="1"/>
    </xf>
    <xf numFmtId="0" fontId="9" fillId="0" borderId="10" xfId="0" applyFont="1" applyBorder="1" applyAlignment="1" applyProtection="1">
      <alignment vertical="center"/>
      <protection/>
    </xf>
    <xf numFmtId="0" fontId="24" fillId="0" borderId="0" xfId="0" applyFont="1" applyBorder="1" applyAlignment="1" applyProtection="1">
      <alignment vertical="center"/>
      <protection/>
    </xf>
    <xf numFmtId="3" fontId="24" fillId="0" borderId="0" xfId="0" applyNumberFormat="1" applyFont="1" applyBorder="1" applyAlignment="1" applyProtection="1">
      <alignment vertical="center"/>
      <protection/>
    </xf>
    <xf numFmtId="0" fontId="46" fillId="0" borderId="0" xfId="0" applyFont="1" applyBorder="1" applyAlignment="1" applyProtection="1">
      <alignment vertical="center"/>
      <protection/>
    </xf>
    <xf numFmtId="3" fontId="9" fillId="0" borderId="10" xfId="0" applyNumberFormat="1" applyFont="1" applyBorder="1" applyAlignment="1" applyProtection="1">
      <alignment vertical="center"/>
      <protection/>
    </xf>
    <xf numFmtId="9" fontId="21" fillId="0" borderId="0" xfId="54" applyFont="1" applyBorder="1" applyAlignment="1" applyProtection="1">
      <alignment vertical="center"/>
      <protection/>
    </xf>
    <xf numFmtId="0" fontId="21" fillId="0" borderId="10" xfId="0" applyFont="1" applyFill="1" applyBorder="1" applyAlignment="1" applyProtection="1">
      <alignment horizontal="right" vertical="center"/>
      <protection/>
    </xf>
    <xf numFmtId="3" fontId="21" fillId="0" borderId="10" xfId="0" applyNumberFormat="1" applyFont="1" applyFill="1" applyBorder="1" applyAlignment="1" applyProtection="1">
      <alignment vertical="center"/>
      <protection/>
    </xf>
    <xf numFmtId="177" fontId="21" fillId="0" borderId="10" xfId="0" applyNumberFormat="1" applyFont="1" applyFill="1" applyBorder="1" applyAlignment="1" applyProtection="1">
      <alignment vertical="center"/>
      <protection/>
    </xf>
    <xf numFmtId="0" fontId="65" fillId="0" borderId="0" xfId="0" applyFont="1" applyAlignment="1" applyProtection="1">
      <alignment/>
      <protection/>
    </xf>
    <xf numFmtId="3" fontId="10" fillId="16" borderId="16" xfId="0" applyNumberFormat="1" applyFont="1" applyFill="1" applyBorder="1" applyAlignment="1" applyProtection="1">
      <alignment horizontal="center" vertical="center" wrapText="1"/>
      <protection/>
    </xf>
    <xf numFmtId="3" fontId="10" fillId="16" borderId="11" xfId="0" applyNumberFormat="1" applyFont="1" applyFill="1" applyBorder="1" applyAlignment="1" applyProtection="1">
      <alignment horizontal="center" vertical="center" wrapText="1"/>
      <protection/>
    </xf>
    <xf numFmtId="3" fontId="10" fillId="16" borderId="14" xfId="0" applyNumberFormat="1" applyFont="1" applyFill="1" applyBorder="1" applyAlignment="1" applyProtection="1">
      <alignment horizontal="center" vertical="center" wrapText="1"/>
      <protection/>
    </xf>
    <xf numFmtId="0" fontId="9" fillId="0" borderId="0" xfId="0" applyFont="1" applyAlignment="1" applyProtection="1">
      <alignment horizontal="center" vertical="center" wrapText="1"/>
      <protection/>
    </xf>
    <xf numFmtId="0" fontId="56" fillId="0" borderId="0" xfId="0" applyFont="1" applyBorder="1" applyAlignment="1" applyProtection="1">
      <alignment horizontal="center" vertical="center" wrapText="1"/>
      <protection/>
    </xf>
    <xf numFmtId="0" fontId="63" fillId="6" borderId="10" xfId="0" applyFont="1" applyFill="1" applyBorder="1" applyAlignment="1" applyProtection="1">
      <alignment horizontal="center" vertical="center"/>
      <protection/>
    </xf>
    <xf numFmtId="0" fontId="62" fillId="0" borderId="0" xfId="0" applyFont="1" applyFill="1" applyBorder="1" applyAlignment="1" applyProtection="1">
      <alignment horizontal="left" vertical="center" wrapText="1"/>
      <protection/>
    </xf>
    <xf numFmtId="0" fontId="37" fillId="0" borderId="0" xfId="0" applyFont="1" applyBorder="1" applyAlignment="1" applyProtection="1">
      <alignment horizontal="left" vertical="center"/>
      <protection/>
    </xf>
    <xf numFmtId="0" fontId="37" fillId="0" borderId="17" xfId="0" applyFont="1" applyBorder="1" applyAlignment="1" applyProtection="1">
      <alignment horizontal="left" vertical="center"/>
      <protection/>
    </xf>
    <xf numFmtId="0" fontId="65" fillId="0" borderId="0" xfId="0" applyFont="1" applyAlignment="1" applyProtection="1">
      <alignment/>
      <protection/>
    </xf>
    <xf numFmtId="0" fontId="67" fillId="0" borderId="0" xfId="47" applyFont="1" applyBorder="1" applyAlignment="1" applyProtection="1">
      <alignment horizontal="left"/>
      <protection/>
    </xf>
    <xf numFmtId="0" fontId="7" fillId="25" borderId="0" xfId="0" applyFont="1" applyFill="1" applyBorder="1" applyAlignment="1" applyProtection="1">
      <alignment horizontal="center" vertical="center" wrapText="1"/>
      <protection/>
    </xf>
    <xf numFmtId="0" fontId="32" fillId="10" borderId="0" xfId="0" applyFont="1" applyFill="1" applyAlignment="1" applyProtection="1">
      <alignment horizontal="left" vertical="center" wrapText="1"/>
      <protection/>
    </xf>
    <xf numFmtId="0" fontId="14" fillId="0" borderId="10" xfId="0" applyFont="1" applyBorder="1" applyAlignment="1" applyProtection="1">
      <alignment vertical="center" wrapText="1"/>
      <protection/>
    </xf>
    <xf numFmtId="0" fontId="29" fillId="16" borderId="10" xfId="0" applyFont="1" applyFill="1" applyBorder="1" applyAlignment="1" applyProtection="1">
      <alignment horizontal="center" vertical="center" wrapText="1"/>
      <protection/>
    </xf>
    <xf numFmtId="0" fontId="14" fillId="0" borderId="10" xfId="0" applyFont="1" applyFill="1" applyBorder="1" applyAlignment="1" applyProtection="1">
      <alignment vertical="center" wrapText="1"/>
      <protection/>
    </xf>
    <xf numFmtId="0" fontId="1" fillId="25" borderId="0" xfId="0" applyFont="1" applyFill="1" applyBorder="1" applyAlignment="1" applyProtection="1">
      <alignment horizontal="center" vertical="center" wrapText="1"/>
      <protection/>
    </xf>
    <xf numFmtId="0" fontId="32" fillId="10" borderId="0" xfId="0" applyFont="1" applyFill="1" applyAlignment="1" applyProtection="1">
      <alignment horizontal="center" vertical="center" wrapText="1"/>
      <protection/>
    </xf>
    <xf numFmtId="0" fontId="10" fillId="16" borderId="16" xfId="0" applyFont="1" applyFill="1" applyBorder="1" applyAlignment="1" applyProtection="1" quotePrefix="1">
      <alignment horizontal="center" vertical="center" wrapText="1"/>
      <protection/>
    </xf>
    <xf numFmtId="0" fontId="10" fillId="16" borderId="14" xfId="0" applyFont="1" applyFill="1" applyBorder="1" applyAlignment="1" applyProtection="1" quotePrefix="1">
      <alignment horizontal="center" vertical="center" wrapText="1"/>
      <protection/>
    </xf>
    <xf numFmtId="0" fontId="10" fillId="16" borderId="10" xfId="0" applyFont="1" applyFill="1" applyBorder="1" applyAlignment="1" applyProtection="1">
      <alignment horizontal="center" vertical="center" wrapText="1"/>
      <protection/>
    </xf>
    <xf numFmtId="0" fontId="10" fillId="16" borderId="10" xfId="0" applyFont="1" applyFill="1" applyBorder="1" applyAlignment="1" applyProtection="1">
      <alignment horizontal="center" vertical="center"/>
      <protection/>
    </xf>
    <xf numFmtId="0" fontId="10" fillId="16" borderId="12" xfId="0" applyFont="1" applyFill="1" applyBorder="1" applyAlignment="1" applyProtection="1">
      <alignment horizontal="left"/>
      <protection/>
    </xf>
    <xf numFmtId="0" fontId="10" fillId="16" borderId="15" xfId="0" applyFont="1" applyFill="1" applyBorder="1" applyAlignment="1" applyProtection="1">
      <alignment horizontal="left"/>
      <protection/>
    </xf>
    <xf numFmtId="0" fontId="10" fillId="16" borderId="12" xfId="0" applyFont="1" applyFill="1" applyBorder="1" applyAlignment="1" applyProtection="1">
      <alignment horizontal="left" vertical="center"/>
      <protection/>
    </xf>
    <xf numFmtId="0" fontId="10" fillId="16" borderId="15" xfId="0" applyFont="1" applyFill="1" applyBorder="1" applyAlignment="1" applyProtection="1">
      <alignment horizontal="left" vertical="center"/>
      <protection/>
    </xf>
    <xf numFmtId="0" fontId="66" fillId="0" borderId="0" xfId="0" applyFont="1" applyBorder="1" applyAlignment="1" applyProtection="1">
      <alignment horizontal="left" vertical="center" wrapText="1"/>
      <protection/>
    </xf>
    <xf numFmtId="0" fontId="64" fillId="6" borderId="12" xfId="0" applyFont="1" applyFill="1" applyBorder="1" applyAlignment="1" applyProtection="1">
      <alignment horizontal="left" vertical="top" wrapText="1"/>
      <protection locked="0"/>
    </xf>
    <xf numFmtId="0" fontId="70" fillId="6" borderId="18" xfId="0" applyFont="1" applyFill="1" applyBorder="1" applyAlignment="1" applyProtection="1">
      <alignment horizontal="left" vertical="top" wrapText="1"/>
      <protection locked="0"/>
    </xf>
    <xf numFmtId="0" fontId="70" fillId="6" borderId="15" xfId="0" applyFont="1" applyFill="1" applyBorder="1" applyAlignment="1" applyProtection="1">
      <alignment horizontal="left" vertical="top" wrapText="1"/>
      <protection locked="0"/>
    </xf>
    <xf numFmtId="0" fontId="64" fillId="0" borderId="10" xfId="0" applyFont="1" applyBorder="1" applyAlignment="1" applyProtection="1">
      <alignment horizontal="right" vertical="top" wrapText="1"/>
      <protection/>
    </xf>
    <xf numFmtId="0" fontId="64" fillId="0" borderId="10" xfId="0" applyFont="1" applyBorder="1" applyAlignment="1" applyProtection="1">
      <alignment wrapText="1"/>
      <protection/>
    </xf>
    <xf numFmtId="0" fontId="64" fillId="6" borderId="18" xfId="0" applyFont="1" applyFill="1" applyBorder="1" applyAlignment="1" applyProtection="1">
      <alignment horizontal="left" vertical="top" wrapText="1"/>
      <protection locked="0"/>
    </xf>
    <xf numFmtId="0" fontId="64" fillId="6" borderId="15" xfId="0" applyFont="1" applyFill="1" applyBorder="1" applyAlignment="1" applyProtection="1">
      <alignment horizontal="left" vertical="top" wrapText="1"/>
      <protection locked="0"/>
    </xf>
    <xf numFmtId="3" fontId="10" fillId="16" borderId="12" xfId="0" applyNumberFormat="1" applyFont="1" applyFill="1" applyBorder="1" applyAlignment="1" applyProtection="1">
      <alignment horizontal="center" vertical="center" wrapText="1"/>
      <protection/>
    </xf>
    <xf numFmtId="3" fontId="10" fillId="16" borderId="18" xfId="0" applyNumberFormat="1" applyFont="1" applyFill="1" applyBorder="1" applyAlignment="1" applyProtection="1">
      <alignment horizontal="center" vertical="center" wrapText="1"/>
      <protection/>
    </xf>
    <xf numFmtId="3" fontId="10" fillId="16" borderId="15" xfId="0" applyNumberFormat="1"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10" fillId="16" borderId="14" xfId="0" applyFont="1" applyFill="1" applyBorder="1" applyAlignment="1" applyProtection="1">
      <alignment horizontal="center" vertical="center" wrapText="1"/>
      <protection/>
    </xf>
    <xf numFmtId="0" fontId="10" fillId="16" borderId="12" xfId="0" applyFont="1" applyFill="1" applyBorder="1" applyAlignment="1" applyProtection="1">
      <alignment horizontal="center" vertical="center" wrapText="1"/>
      <protection/>
    </xf>
    <xf numFmtId="0" fontId="10" fillId="16" borderId="18"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3" fontId="20" fillId="16" borderId="12" xfId="0" applyNumberFormat="1" applyFont="1" applyFill="1" applyBorder="1" applyAlignment="1" applyProtection="1">
      <alignment horizontal="center" vertical="center" wrapText="1"/>
      <protection/>
    </xf>
    <xf numFmtId="3" fontId="20" fillId="16" borderId="18" xfId="0" applyNumberFormat="1" applyFont="1" applyFill="1" applyBorder="1" applyAlignment="1" applyProtection="1">
      <alignment horizontal="center" vertical="center" wrapText="1"/>
      <protection/>
    </xf>
    <xf numFmtId="3" fontId="20" fillId="16" borderId="15" xfId="0" applyNumberFormat="1" applyFont="1" applyFill="1" applyBorder="1" applyAlignment="1" applyProtection="1">
      <alignment horizontal="center" vertical="center" wrapText="1"/>
      <protection/>
    </xf>
    <xf numFmtId="0" fontId="10" fillId="16" borderId="12" xfId="0" applyFont="1" applyFill="1" applyBorder="1" applyAlignment="1" applyProtection="1">
      <alignment horizontal="center" vertical="center"/>
      <protection/>
    </xf>
    <xf numFmtId="0" fontId="10" fillId="16" borderId="18" xfId="0" applyFont="1" applyFill="1" applyBorder="1" applyAlignment="1" applyProtection="1">
      <alignment horizontal="center" vertical="center"/>
      <protection/>
    </xf>
    <xf numFmtId="0" fontId="10" fillId="16" borderId="15" xfId="0" applyFont="1" applyFill="1" applyBorder="1" applyAlignment="1" applyProtection="1">
      <alignment horizontal="center" vertical="center"/>
      <protection/>
    </xf>
    <xf numFmtId="3" fontId="10" fillId="16" borderId="10" xfId="0" applyNumberFormat="1" applyFont="1" applyFill="1" applyBorder="1" applyAlignment="1" applyProtection="1">
      <alignment horizontal="center" vertical="center" wrapText="1"/>
      <protection/>
    </xf>
    <xf numFmtId="0" fontId="0" fillId="16" borderId="12" xfId="0" applyFill="1" applyBorder="1" applyAlignment="1" applyProtection="1">
      <alignment horizontal="left" vertical="center" wrapText="1"/>
      <protection/>
    </xf>
    <xf numFmtId="0" fontId="0" fillId="16" borderId="15" xfId="0" applyFill="1" applyBorder="1" applyAlignment="1" applyProtection="1">
      <alignment horizontal="left" vertical="center" wrapText="1"/>
      <protection/>
    </xf>
    <xf numFmtId="0" fontId="20" fillId="16" borderId="19" xfId="0" applyFont="1" applyFill="1" applyBorder="1" applyAlignment="1" applyProtection="1">
      <alignment horizontal="left" vertical="center" wrapText="1"/>
      <protection/>
    </xf>
    <xf numFmtId="0" fontId="20" fillId="16" borderId="20" xfId="0" applyFont="1" applyFill="1" applyBorder="1" applyAlignment="1" applyProtection="1">
      <alignment horizontal="left" vertical="center" wrapText="1"/>
      <protection/>
    </xf>
    <xf numFmtId="0" fontId="20" fillId="16" borderId="21" xfId="0" applyFont="1" applyFill="1" applyBorder="1" applyAlignment="1" applyProtection="1">
      <alignment horizontal="left" vertical="center" wrapText="1"/>
      <protection/>
    </xf>
    <xf numFmtId="0" fontId="20" fillId="16" borderId="17" xfId="0" applyFont="1" applyFill="1" applyBorder="1" applyAlignment="1" applyProtection="1">
      <alignment horizontal="left" vertical="center" wrapText="1"/>
      <protection/>
    </xf>
    <xf numFmtId="0" fontId="20" fillId="16" borderId="22" xfId="0" applyFont="1" applyFill="1" applyBorder="1" applyAlignment="1" applyProtection="1">
      <alignment horizontal="left" vertical="center" wrapText="1"/>
      <protection/>
    </xf>
    <xf numFmtId="0" fontId="20" fillId="16" borderId="23" xfId="0" applyFont="1" applyFill="1" applyBorder="1" applyAlignment="1" applyProtection="1">
      <alignment horizontal="left" vertical="center" wrapText="1"/>
      <protection/>
    </xf>
    <xf numFmtId="0" fontId="0" fillId="16" borderId="10" xfId="0" applyFill="1" applyBorder="1" applyAlignment="1" applyProtection="1">
      <alignment vertical="center" wrapText="1"/>
      <protection/>
    </xf>
    <xf numFmtId="3" fontId="20" fillId="16" borderId="16" xfId="0" applyNumberFormat="1" applyFont="1" applyFill="1" applyBorder="1" applyAlignment="1" applyProtection="1">
      <alignment horizontal="center" vertical="center" wrapText="1"/>
      <protection/>
    </xf>
    <xf numFmtId="3" fontId="20" fillId="16" borderId="11" xfId="0" applyNumberFormat="1" applyFont="1" applyFill="1" applyBorder="1" applyAlignment="1" applyProtection="1">
      <alignment horizontal="center" vertical="center" wrapText="1"/>
      <protection/>
    </xf>
    <xf numFmtId="3" fontId="20" fillId="16" borderId="14" xfId="0" applyNumberFormat="1" applyFont="1" applyFill="1" applyBorder="1" applyAlignment="1" applyProtection="1">
      <alignment horizontal="center" vertical="center" wrapText="1"/>
      <protection/>
    </xf>
    <xf numFmtId="3" fontId="20" fillId="16" borderId="10" xfId="0" applyNumberFormat="1" applyFont="1" applyFill="1" applyBorder="1" applyAlignment="1" applyProtection="1">
      <alignment horizontal="center" vertical="center" wrapText="1"/>
      <protection/>
    </xf>
    <xf numFmtId="0" fontId="20" fillId="16" borderId="10" xfId="0" applyFont="1" applyFill="1" applyBorder="1" applyAlignment="1" applyProtection="1">
      <alignment horizontal="center" vertical="center" wrapText="1"/>
      <protection/>
    </xf>
    <xf numFmtId="0" fontId="10" fillId="16" borderId="14" xfId="0" applyFont="1" applyFill="1" applyBorder="1" applyAlignment="1" applyProtection="1">
      <alignment horizontal="center" vertical="center"/>
      <protection/>
    </xf>
    <xf numFmtId="0" fontId="10" fillId="16" borderId="22" xfId="0" applyFont="1" applyFill="1" applyBorder="1" applyAlignment="1" applyProtection="1">
      <alignment horizontal="center" vertical="center"/>
      <protection/>
    </xf>
    <xf numFmtId="0" fontId="10" fillId="16" borderId="13" xfId="0" applyFont="1" applyFill="1" applyBorder="1" applyAlignment="1" applyProtection="1">
      <alignment horizontal="center" vertical="center"/>
      <protection/>
    </xf>
    <xf numFmtId="0" fontId="20" fillId="16" borderId="16" xfId="0" applyFont="1" applyFill="1" applyBorder="1" applyAlignment="1" applyProtection="1">
      <alignment horizontal="center" vertical="center" wrapText="1"/>
      <protection/>
    </xf>
    <xf numFmtId="0" fontId="20" fillId="16" borderId="14" xfId="0" applyFont="1" applyFill="1" applyBorder="1" applyAlignment="1" applyProtection="1">
      <alignment horizontal="center" vertical="center" wrapText="1"/>
      <protection/>
    </xf>
    <xf numFmtId="0" fontId="20" fillId="16" borderId="12" xfId="0" applyFont="1" applyFill="1" applyBorder="1" applyAlignment="1" applyProtection="1">
      <alignment horizontal="center" vertical="center" wrapText="1"/>
      <protection/>
    </xf>
    <xf numFmtId="0" fontId="20" fillId="16" borderId="18" xfId="0" applyFont="1" applyFill="1" applyBorder="1" applyAlignment="1" applyProtection="1">
      <alignment horizontal="center" vertical="center" wrapText="1"/>
      <protection/>
    </xf>
    <xf numFmtId="0" fontId="20" fillId="16" borderId="15" xfId="0" applyFont="1" applyFill="1" applyBorder="1" applyAlignment="1" applyProtection="1">
      <alignment horizontal="center" vertical="center" wrapText="1"/>
      <protection/>
    </xf>
    <xf numFmtId="3" fontId="68" fillId="6" borderId="12" xfId="0" applyNumberFormat="1" applyFont="1" applyFill="1" applyBorder="1" applyAlignment="1" applyProtection="1">
      <alignment horizontal="left" vertical="center"/>
      <protection locked="0"/>
    </xf>
    <xf numFmtId="3" fontId="68" fillId="6" borderId="15" xfId="0" applyNumberFormat="1" applyFont="1" applyFill="1" applyBorder="1" applyAlignment="1" applyProtection="1">
      <alignment horizontal="left" vertical="center"/>
      <protection locked="0"/>
    </xf>
    <xf numFmtId="0" fontId="68" fillId="16" borderId="10" xfId="0" applyFont="1" applyFill="1" applyBorder="1" applyAlignment="1" applyProtection="1">
      <alignment horizontal="left"/>
      <protection/>
    </xf>
    <xf numFmtId="0" fontId="10" fillId="16" borderId="16" xfId="0" applyFont="1" applyFill="1" applyBorder="1" applyAlignment="1" applyProtection="1">
      <alignment horizontal="left" vertical="center"/>
      <protection/>
    </xf>
    <xf numFmtId="0" fontId="10" fillId="16" borderId="11" xfId="0" applyFont="1" applyFill="1" applyBorder="1" applyAlignment="1" applyProtection="1">
      <alignment horizontal="left" vertical="center"/>
      <protection/>
    </xf>
    <xf numFmtId="0" fontId="10" fillId="16" borderId="14" xfId="0" applyFont="1" applyFill="1" applyBorder="1" applyAlignment="1" applyProtection="1">
      <alignment horizontal="left" vertical="center"/>
      <protection/>
    </xf>
    <xf numFmtId="3" fontId="20" fillId="6" borderId="16" xfId="0" applyNumberFormat="1" applyFont="1" applyFill="1" applyBorder="1" applyAlignment="1" applyProtection="1">
      <alignment horizontal="right" vertical="center"/>
      <protection locked="0"/>
    </xf>
    <xf numFmtId="3" fontId="20" fillId="6" borderId="11" xfId="0" applyNumberFormat="1" applyFont="1" applyFill="1" applyBorder="1" applyAlignment="1" applyProtection="1">
      <alignment horizontal="right" vertical="center"/>
      <protection locked="0"/>
    </xf>
    <xf numFmtId="3" fontId="20" fillId="6" borderId="14" xfId="0" applyNumberFormat="1" applyFont="1" applyFill="1" applyBorder="1" applyAlignment="1" applyProtection="1">
      <alignment horizontal="right" vertical="center"/>
      <protection locked="0"/>
    </xf>
    <xf numFmtId="3" fontId="20" fillId="0" borderId="16" xfId="0" applyNumberFormat="1" applyFont="1" applyFill="1" applyBorder="1" applyAlignment="1" applyProtection="1">
      <alignment horizontal="right" vertical="center" wrapText="1"/>
      <protection locked="0"/>
    </xf>
    <xf numFmtId="3" fontId="20" fillId="0" borderId="11" xfId="0" applyNumberFormat="1" applyFont="1" applyFill="1" applyBorder="1" applyAlignment="1" applyProtection="1">
      <alignment horizontal="right" vertical="center" wrapText="1"/>
      <protection locked="0"/>
    </xf>
    <xf numFmtId="3" fontId="20" fillId="0" borderId="14" xfId="0" applyNumberFormat="1" applyFont="1" applyFill="1" applyBorder="1" applyAlignment="1" applyProtection="1">
      <alignment horizontal="right" vertical="center" wrapText="1"/>
      <protection locked="0"/>
    </xf>
    <xf numFmtId="0" fontId="9" fillId="0" borderId="16" xfId="0" applyFont="1" applyBorder="1" applyAlignment="1" applyProtection="1">
      <alignment vertical="center" wrapText="1"/>
      <protection/>
    </xf>
    <xf numFmtId="0" fontId="9" fillId="0" borderId="11" xfId="0" applyFont="1" applyBorder="1" applyAlignment="1" applyProtection="1">
      <alignment vertical="center" wrapText="1"/>
      <protection/>
    </xf>
    <xf numFmtId="0" fontId="9" fillId="0" borderId="14" xfId="0" applyFont="1" applyBorder="1" applyAlignment="1" applyProtection="1">
      <alignment vertical="center" wrapText="1"/>
      <protection/>
    </xf>
    <xf numFmtId="0" fontId="21" fillId="0" borderId="12" xfId="0" applyFont="1" applyFill="1" applyBorder="1" applyAlignment="1" applyProtection="1">
      <alignment horizontal="center" vertical="center"/>
      <protection locked="0"/>
    </xf>
    <xf numFmtId="0" fontId="21" fillId="0" borderId="18"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37" fillId="0" borderId="0" xfId="0" applyFont="1" applyAlignment="1" applyProtection="1">
      <alignment horizontal="justify" vertical="center"/>
      <protection/>
    </xf>
    <xf numFmtId="0" fontId="20" fillId="23" borderId="12" xfId="0" applyFont="1" applyFill="1" applyBorder="1" applyAlignment="1" applyProtection="1">
      <alignment horizontal="left" vertical="center"/>
      <protection/>
    </xf>
    <xf numFmtId="0" fontId="20" fillId="23" borderId="18" xfId="0" applyFont="1" applyFill="1" applyBorder="1" applyAlignment="1" applyProtection="1">
      <alignment horizontal="left" vertical="center"/>
      <protection/>
    </xf>
    <xf numFmtId="0" fontId="20" fillId="23" borderId="15" xfId="0" applyFont="1" applyFill="1" applyBorder="1" applyAlignment="1" applyProtection="1">
      <alignment horizontal="left" vertical="center"/>
      <protection/>
    </xf>
    <xf numFmtId="3" fontId="20" fillId="0" borderId="10" xfId="0" applyNumberFormat="1" applyFont="1" applyFill="1" applyBorder="1" applyAlignment="1" applyProtection="1">
      <alignment horizontal="right" vertical="center" wrapText="1"/>
      <protection locked="0"/>
    </xf>
    <xf numFmtId="0" fontId="69" fillId="6" borderId="12" xfId="0" applyFont="1" applyFill="1" applyBorder="1" applyAlignment="1" applyProtection="1">
      <alignment horizontal="left" vertical="center"/>
      <protection locked="0"/>
    </xf>
    <xf numFmtId="0" fontId="69" fillId="6" borderId="18" xfId="0" applyFont="1" applyFill="1" applyBorder="1" applyAlignment="1" applyProtection="1">
      <alignment horizontal="left" vertical="center"/>
      <protection locked="0"/>
    </xf>
    <xf numFmtId="0" fontId="69" fillId="6" borderId="15" xfId="0" applyFont="1" applyFill="1" applyBorder="1" applyAlignment="1" applyProtection="1">
      <alignment horizontal="left" vertical="center"/>
      <protection locked="0"/>
    </xf>
    <xf numFmtId="0" fontId="20" fillId="23" borderId="16" xfId="0" applyFont="1" applyFill="1" applyBorder="1" applyAlignment="1" applyProtection="1">
      <alignment horizontal="center" vertical="center" wrapText="1"/>
      <protection/>
    </xf>
    <xf numFmtId="0" fontId="20" fillId="23" borderId="14" xfId="0" applyFont="1" applyFill="1" applyBorder="1" applyAlignment="1" applyProtection="1">
      <alignment horizontal="center" vertical="center" wrapText="1"/>
      <protection/>
    </xf>
    <xf numFmtId="0" fontId="37" fillId="0" borderId="13" xfId="0" applyFont="1" applyBorder="1" applyAlignment="1" applyProtection="1">
      <alignment vertical="center"/>
      <protection/>
    </xf>
    <xf numFmtId="0" fontId="68" fillId="6" borderId="10" xfId="0" applyFont="1" applyFill="1" applyBorder="1" applyAlignment="1" applyProtection="1">
      <alignment horizontal="left" vertical="center"/>
      <protection locked="0"/>
    </xf>
    <xf numFmtId="0" fontId="37" fillId="0" borderId="13" xfId="0" applyFont="1" applyBorder="1" applyAlignment="1" applyProtection="1">
      <alignment horizontal="justify" vertical="center"/>
      <protection/>
    </xf>
    <xf numFmtId="0" fontId="25" fillId="6" borderId="10" xfId="0" applyFont="1" applyFill="1" applyBorder="1" applyAlignment="1" applyProtection="1">
      <alignment horizontal="center" vertical="center"/>
      <protection/>
    </xf>
    <xf numFmtId="0" fontId="20" fillId="23" borderId="12" xfId="0" applyFont="1" applyFill="1" applyBorder="1" applyAlignment="1" applyProtection="1">
      <alignment horizontal="center" vertical="center" wrapText="1"/>
      <protection/>
    </xf>
    <xf numFmtId="0" fontId="20" fillId="23" borderId="15" xfId="0" applyFont="1" applyFill="1" applyBorder="1" applyAlignment="1" applyProtection="1">
      <alignment horizontal="center" vertical="center" wrapText="1"/>
      <protection/>
    </xf>
    <xf numFmtId="0" fontId="9" fillId="0" borderId="16" xfId="0" applyFont="1" applyBorder="1" applyAlignment="1" applyProtection="1">
      <alignment horizontal="left" vertical="center" wrapText="1"/>
      <protection/>
    </xf>
    <xf numFmtId="0" fontId="9" fillId="0" borderId="11" xfId="0" applyFont="1" applyBorder="1" applyAlignment="1" applyProtection="1">
      <alignment horizontal="left" vertical="center" wrapText="1"/>
      <protection/>
    </xf>
    <xf numFmtId="0" fontId="9" fillId="0" borderId="14" xfId="0" applyFont="1" applyBorder="1" applyAlignment="1" applyProtection="1">
      <alignment horizontal="left" vertical="center" wrapText="1"/>
      <protection/>
    </xf>
    <xf numFmtId="0" fontId="20" fillId="23" borderId="10" xfId="0" applyFont="1" applyFill="1" applyBorder="1" applyAlignment="1" applyProtection="1">
      <alignment horizontal="center" vertical="center" wrapText="1"/>
      <protection/>
    </xf>
    <xf numFmtId="0" fontId="71" fillId="16" borderId="10" xfId="0" applyFont="1" applyFill="1" applyBorder="1" applyAlignment="1">
      <alignment horizontal="center" wrapText="1"/>
    </xf>
    <xf numFmtId="3" fontId="20" fillId="0" borderId="24" xfId="0" applyNumberFormat="1" applyFont="1" applyFill="1" applyBorder="1" applyAlignment="1" applyProtection="1">
      <alignment horizontal="right" vertical="center" wrapText="1"/>
      <protection locked="0"/>
    </xf>
    <xf numFmtId="3" fontId="20" fillId="6" borderId="24" xfId="0" applyNumberFormat="1" applyFont="1" applyFill="1" applyBorder="1" applyAlignment="1" applyProtection="1">
      <alignment horizontal="right" vertical="center"/>
      <protection locked="0"/>
    </xf>
  </cellXfs>
  <cellStyles count="49">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Hyperlink" xfId="47"/>
    <cellStyle name="Incorrecto" xfId="48"/>
    <cellStyle name="Comma" xfId="49"/>
    <cellStyle name="Comma [0]" xfId="50"/>
    <cellStyle name="Followed Hyperlink" xfId="51"/>
    <cellStyle name="Neutro" xfId="52"/>
    <cellStyle name="Nota" xfId="53"/>
    <cellStyle name="Percent" xfId="54"/>
    <cellStyle name="Saída" xfId="55"/>
    <cellStyle name="Texto de Aviso" xfId="56"/>
    <cellStyle name="Texto Explicativo" xfId="57"/>
    <cellStyle name="Título" xfId="58"/>
    <cellStyle name="Total" xfId="59"/>
    <cellStyle name="Currency" xfId="60"/>
    <cellStyle name="Currency [0]" xfId="61"/>
    <cellStyle name="Verificar Célul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1495425</xdr:colOff>
      <xdr:row>1</xdr:row>
      <xdr:rowOff>266700</xdr:rowOff>
    </xdr:to>
    <xdr:pic>
      <xdr:nvPicPr>
        <xdr:cNvPr id="1" name="Imagem 6"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1495425</xdr:colOff>
      <xdr:row>1</xdr:row>
      <xdr:rowOff>266700</xdr:rowOff>
    </xdr:to>
    <xdr:pic>
      <xdr:nvPicPr>
        <xdr:cNvPr id="1" name="Imagem 2"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1495425</xdr:colOff>
      <xdr:row>1</xdr:row>
      <xdr:rowOff>266700</xdr:rowOff>
    </xdr:to>
    <xdr:pic>
      <xdr:nvPicPr>
        <xdr:cNvPr id="1" name="Imagem 1"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1047750</xdr:colOff>
      <xdr:row>1</xdr:row>
      <xdr:rowOff>276225</xdr:rowOff>
    </xdr:to>
    <xdr:pic>
      <xdr:nvPicPr>
        <xdr:cNvPr id="1" name="Imagem 10" descr="pact of islands logo.png"/>
        <xdr:cNvPicPr preferRelativeResize="1">
          <a:picLocks noChangeAspect="1"/>
        </xdr:cNvPicPr>
      </xdr:nvPicPr>
      <xdr:blipFill>
        <a:blip r:embed="rId1"/>
        <a:stretch>
          <a:fillRect/>
        </a:stretch>
      </xdr:blipFill>
      <xdr:spPr>
        <a:xfrm>
          <a:off x="0" y="0"/>
          <a:ext cx="1495425" cy="1752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18</xdr:col>
      <xdr:colOff>28575</xdr:colOff>
      <xdr:row>3</xdr:row>
      <xdr:rowOff>0</xdr:rowOff>
    </xdr:to>
    <xdr:pic>
      <xdr:nvPicPr>
        <xdr:cNvPr id="1"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2"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3"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4"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5"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6"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editAs="oneCell">
    <xdr:from>
      <xdr:col>0</xdr:col>
      <xdr:colOff>0</xdr:colOff>
      <xdr:row>0</xdr:row>
      <xdr:rowOff>0</xdr:rowOff>
    </xdr:from>
    <xdr:to>
      <xdr:col>1</xdr:col>
      <xdr:colOff>1047750</xdr:colOff>
      <xdr:row>1</xdr:row>
      <xdr:rowOff>266700</xdr:rowOff>
    </xdr:to>
    <xdr:pic>
      <xdr:nvPicPr>
        <xdr:cNvPr id="7" name="Imagem 10" descr="pact of islands logo.png"/>
        <xdr:cNvPicPr preferRelativeResize="1">
          <a:picLocks noChangeAspect="1"/>
        </xdr:cNvPicPr>
      </xdr:nvPicPr>
      <xdr:blipFill>
        <a:blip r:embed="rId2"/>
        <a:stretch>
          <a:fillRect/>
        </a:stretch>
      </xdr:blipFill>
      <xdr:spPr>
        <a:xfrm>
          <a:off x="0" y="0"/>
          <a:ext cx="1495425" cy="1743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18</xdr:col>
      <xdr:colOff>28575</xdr:colOff>
      <xdr:row>3</xdr:row>
      <xdr:rowOff>0</xdr:rowOff>
    </xdr:to>
    <xdr:pic>
      <xdr:nvPicPr>
        <xdr:cNvPr id="1"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2"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3"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4"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5"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6"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editAs="oneCell">
    <xdr:from>
      <xdr:col>0</xdr:col>
      <xdr:colOff>0</xdr:colOff>
      <xdr:row>0</xdr:row>
      <xdr:rowOff>0</xdr:rowOff>
    </xdr:from>
    <xdr:to>
      <xdr:col>1</xdr:col>
      <xdr:colOff>1047750</xdr:colOff>
      <xdr:row>1</xdr:row>
      <xdr:rowOff>266700</xdr:rowOff>
    </xdr:to>
    <xdr:pic>
      <xdr:nvPicPr>
        <xdr:cNvPr id="7" name="Imagem 8" descr="pact of islands logo.png"/>
        <xdr:cNvPicPr preferRelativeResize="1">
          <a:picLocks noChangeAspect="1"/>
        </xdr:cNvPicPr>
      </xdr:nvPicPr>
      <xdr:blipFill>
        <a:blip r:embed="rId2"/>
        <a:stretch>
          <a:fillRect/>
        </a:stretch>
      </xdr:blipFill>
      <xdr:spPr>
        <a:xfrm>
          <a:off x="0" y="0"/>
          <a:ext cx="1495425" cy="1743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1047750</xdr:colOff>
      <xdr:row>1</xdr:row>
      <xdr:rowOff>266700</xdr:rowOff>
    </xdr:to>
    <xdr:pic>
      <xdr:nvPicPr>
        <xdr:cNvPr id="1" name="Imagem 4"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E17"/>
  <sheetViews>
    <sheetView showGridLines="0" zoomScale="70" zoomScaleNormal="70" zoomScalePageLayoutView="0" workbookViewId="0" topLeftCell="A1">
      <selection activeCell="B4" sqref="B4"/>
    </sheetView>
  </sheetViews>
  <sheetFormatPr defaultColWidth="9.140625" defaultRowHeight="15"/>
  <cols>
    <col min="1" max="1" width="33.421875" style="186" customWidth="1"/>
    <col min="2" max="2" width="43.7109375" style="186" customWidth="1"/>
    <col min="3" max="3" width="73.7109375" style="186" customWidth="1"/>
    <col min="4" max="5" width="0" style="186" hidden="1" customWidth="1"/>
    <col min="6" max="6" width="22.421875" style="186" hidden="1" customWidth="1"/>
    <col min="7" max="7" width="18.00390625" style="186" hidden="1" customWidth="1"/>
    <col min="8" max="14" width="0" style="186" hidden="1" customWidth="1"/>
    <col min="15" max="16384" width="9.140625" style="186" customWidth="1"/>
  </cols>
  <sheetData>
    <row r="1" spans="1:14" s="21" customFormat="1" ht="116.25" customHeight="1">
      <c r="A1" s="118"/>
      <c r="B1" s="266" t="str">
        <f>Translation!$A$31</f>
        <v>Island  Sustainable Energy Action Plan (ISEAP)</v>
      </c>
      <c r="C1" s="266"/>
      <c r="D1" s="87"/>
      <c r="E1" s="87"/>
      <c r="F1" s="87"/>
      <c r="G1" s="87"/>
      <c r="H1" s="87"/>
      <c r="I1" s="87"/>
      <c r="J1" s="87"/>
      <c r="K1" s="87"/>
      <c r="L1" s="87"/>
      <c r="M1" s="87"/>
      <c r="N1" s="87"/>
    </row>
    <row r="2" spans="1:14" s="21" customFormat="1" ht="28.5" customHeight="1">
      <c r="A2" s="267" t="s">
        <v>429</v>
      </c>
      <c r="B2" s="267"/>
      <c r="C2" s="119"/>
      <c r="D2" s="81"/>
      <c r="E2" s="81"/>
      <c r="F2" s="83" t="str">
        <f>Translation!$A$10</f>
        <v>Island</v>
      </c>
      <c r="G2" s="84" t="str">
        <f>'Start here'!$B$5</f>
        <v>Hiiumaa</v>
      </c>
      <c r="H2" s="86"/>
      <c r="I2" s="86"/>
      <c r="J2" s="86"/>
      <c r="K2" s="86"/>
      <c r="L2" s="86"/>
      <c r="M2" s="86"/>
      <c r="N2" s="86"/>
    </row>
    <row r="4" spans="1:31" ht="30" customHeight="1">
      <c r="A4" s="185" t="str">
        <f>Translation!A9</f>
        <v>Language</v>
      </c>
      <c r="B4" s="107" t="s">
        <v>1100</v>
      </c>
      <c r="D4" s="47" t="str">
        <f>Translation!B6</f>
        <v>EN</v>
      </c>
      <c r="E4" s="47" t="str">
        <f>Translation!C6</f>
        <v>PT</v>
      </c>
      <c r="F4" s="47" t="str">
        <f>Translation!D6</f>
        <v>ES</v>
      </c>
      <c r="G4" s="47" t="str">
        <f>Translation!E6</f>
        <v>FR</v>
      </c>
      <c r="H4" s="47" t="str">
        <f>Translation!F6</f>
        <v>GR</v>
      </c>
      <c r="I4" s="47" t="str">
        <f>Translation!G6</f>
        <v>SW</v>
      </c>
      <c r="J4" s="47" t="str">
        <f>Translation!H6</f>
        <v>DK</v>
      </c>
      <c r="K4" s="47" t="str">
        <f>Translation!I6</f>
        <v>IT</v>
      </c>
      <c r="L4" s="47" t="str">
        <f>Translation!J6</f>
        <v>EST</v>
      </c>
      <c r="M4" s="47" t="str">
        <f>Translation!K6</f>
        <v>….</v>
      </c>
      <c r="N4" s="47" t="str">
        <f>Translation!L6</f>
        <v>…..</v>
      </c>
      <c r="O4" s="47"/>
      <c r="P4" s="47"/>
      <c r="Q4" s="47"/>
      <c r="R4" s="47"/>
      <c r="S4" s="47"/>
      <c r="T4" s="47"/>
      <c r="U4" s="47"/>
      <c r="V4" s="47"/>
      <c r="W4" s="47"/>
      <c r="X4" s="47"/>
      <c r="Y4" s="47"/>
      <c r="Z4" s="47"/>
      <c r="AA4" s="47"/>
      <c r="AB4" s="47"/>
      <c r="AC4" s="47"/>
      <c r="AD4" s="47"/>
      <c r="AE4" s="47"/>
    </row>
    <row r="5" spans="1:2" s="187" customFormat="1" ht="30" customHeight="1">
      <c r="A5" s="50" t="str">
        <f>Translation!A10</f>
        <v>Island</v>
      </c>
      <c r="B5" s="108" t="s">
        <v>1063</v>
      </c>
    </row>
    <row r="6" spans="1:2" s="187" customFormat="1" ht="30" customHeight="1">
      <c r="A6" s="49" t="str">
        <f>Translation!A12</f>
        <v>Baseline year</v>
      </c>
      <c r="B6" s="108">
        <v>2009</v>
      </c>
    </row>
    <row r="7" spans="1:6" s="187" customFormat="1" ht="30" customHeight="1">
      <c r="A7" s="49" t="str">
        <f>Translation!A13</f>
        <v>CO2 calculation method</v>
      </c>
      <c r="B7" s="109" t="s">
        <v>137</v>
      </c>
      <c r="D7" s="47" t="s">
        <v>137</v>
      </c>
      <c r="E7" s="47" t="s">
        <v>136</v>
      </c>
      <c r="F7" s="48" t="str">
        <f>IF(B7=D7,Translation!A14,Translation!A15)</f>
        <v>IPCC emission factors</v>
      </c>
    </row>
    <row r="8" spans="1:7" s="187" customFormat="1" ht="30" customHeight="1">
      <c r="A8" s="49" t="str">
        <f>Translation!A16</f>
        <v>Emission reporting unit</v>
      </c>
      <c r="B8" s="109" t="s">
        <v>414</v>
      </c>
      <c r="D8" s="47" t="s">
        <v>414</v>
      </c>
      <c r="E8" s="47" t="s">
        <v>415</v>
      </c>
      <c r="F8" s="48" t="str">
        <f>IF(B8=D8,Translation!A17,Translation!A18)</f>
        <v>[t CO2]</v>
      </c>
      <c r="G8" s="48" t="str">
        <f>IF(B8=D8,Translation!A19,Translation!A20)</f>
        <v>[t CO2/MWh]</v>
      </c>
    </row>
    <row r="9" s="47" customFormat="1" ht="30" customHeight="1"/>
    <row r="10" s="188" customFormat="1" ht="15"/>
    <row r="11" spans="1:3" ht="15.75">
      <c r="A11" s="214" t="str">
        <f>Translation!A23</f>
        <v>Sheet</v>
      </c>
      <c r="B11" s="269" t="str">
        <f>Translation!A24</f>
        <v>Contents</v>
      </c>
      <c r="C11" s="269"/>
    </row>
    <row r="12" spans="1:3" ht="15.75">
      <c r="A12" s="212" t="s">
        <v>135</v>
      </c>
      <c r="B12" s="268" t="str">
        <f>Translation!A25</f>
        <v>Is intended to enable the translation of the tables.</v>
      </c>
      <c r="C12" s="268"/>
    </row>
    <row r="13" spans="1:3" ht="15.75">
      <c r="A13" s="212" t="s">
        <v>134</v>
      </c>
      <c r="B13" s="270" t="str">
        <f>Translation!A26</f>
        <v>To insert CO2 emission factors for calculating emissions.</v>
      </c>
      <c r="C13" s="270"/>
    </row>
    <row r="14" spans="1:3" ht="15.75">
      <c r="A14" s="212" t="s">
        <v>409</v>
      </c>
      <c r="B14" s="270" t="str">
        <f>Translation!A27</f>
        <v>To establish ISEAP targets, long-term vision and organizational and financial aspects.</v>
      </c>
      <c r="C14" s="270"/>
    </row>
    <row r="15" spans="1:3" ht="15.75">
      <c r="A15" s="212" t="s">
        <v>410</v>
      </c>
      <c r="B15" s="270" t="str">
        <f>Translation!A28</f>
        <v>To present the baseline energy balance and CO2 emissions inventory.</v>
      </c>
      <c r="C15" s="270"/>
    </row>
    <row r="16" spans="1:3" ht="15.75">
      <c r="A16" s="212" t="s">
        <v>453</v>
      </c>
      <c r="B16" s="268" t="str">
        <f>Translation!A29</f>
        <v>To present the plan energy balance in 2020 and CO2 emissions inventory.</v>
      </c>
      <c r="C16" s="268"/>
    </row>
    <row r="17" spans="1:3" ht="15.75">
      <c r="A17" s="212" t="s">
        <v>411</v>
      </c>
      <c r="B17" s="268" t="str">
        <f>Translation!A30</f>
        <v>To present the list of energy sustainable actions, the investment and reduction of CO2 emissions.</v>
      </c>
      <c r="C17" s="268"/>
    </row>
  </sheetData>
  <sheetProtection/>
  <mergeCells count="9">
    <mergeCell ref="B1:C1"/>
    <mergeCell ref="A2:B2"/>
    <mergeCell ref="B16:C16"/>
    <mergeCell ref="B17:C17"/>
    <mergeCell ref="B11:C11"/>
    <mergeCell ref="B12:C12"/>
    <mergeCell ref="B13:C13"/>
    <mergeCell ref="B14:C14"/>
    <mergeCell ref="B15:C15"/>
  </mergeCells>
  <dataValidations count="3">
    <dataValidation type="list" allowBlank="1" showInputMessage="1" showErrorMessage="1" sqref="B8">
      <formula1>$D$8:$E$8</formula1>
    </dataValidation>
    <dataValidation type="list" allowBlank="1" showInputMessage="1" showErrorMessage="1" sqref="B7">
      <formula1>$D$7:$E$7</formula1>
    </dataValidation>
    <dataValidation type="list" allowBlank="1" showInputMessage="1" showErrorMessage="1" sqref="B4">
      <formula1>$D$4:$N$4</formula1>
    </dataValidation>
  </dataValidations>
  <printOptions horizontalCentered="1"/>
  <pageMargins left="0.7086614173228347" right="0.7086614173228347" top="0.7480314960629921" bottom="0.7480314960629921" header="0.31496062992125984" footer="0.31496062992125984"/>
  <pageSetup fitToHeight="1" fitToWidth="1" horizontalDpi="300" verticalDpi="300" orientation="landscape" paperSize="9" scale="9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212"/>
  <sheetViews>
    <sheetView showGridLines="0" zoomScale="70" zoomScaleNormal="70" zoomScalePageLayoutView="0" workbookViewId="0" topLeftCell="A1">
      <selection activeCell="B79" sqref="B79"/>
    </sheetView>
  </sheetViews>
  <sheetFormatPr defaultColWidth="42.00390625" defaultRowHeight="15"/>
  <cols>
    <col min="1" max="1" width="42.00390625" style="13" customWidth="1"/>
    <col min="2" max="2" width="42.00390625" style="14" customWidth="1"/>
    <col min="3" max="9" width="0" style="15" hidden="1" customWidth="1"/>
    <col min="10" max="16384" width="42.00390625" style="15" customWidth="1"/>
  </cols>
  <sheetData>
    <row r="1" spans="1:12" s="21" customFormat="1" ht="116.25" customHeight="1">
      <c r="A1" s="271" t="str">
        <f>Translation!$A$31</f>
        <v>Island  Sustainable Energy Action Plan (ISEAP)</v>
      </c>
      <c r="B1" s="271"/>
      <c r="C1" s="271"/>
      <c r="D1" s="271"/>
      <c r="E1" s="271"/>
      <c r="F1" s="271"/>
      <c r="G1" s="271"/>
      <c r="H1" s="271"/>
      <c r="I1" s="271"/>
      <c r="J1" s="271"/>
      <c r="K1" s="271"/>
      <c r="L1" s="271"/>
    </row>
    <row r="2" spans="1:12" s="21" customFormat="1" ht="28.5" customHeight="1">
      <c r="A2" s="267" t="s">
        <v>429</v>
      </c>
      <c r="B2" s="267"/>
      <c r="C2" s="81"/>
      <c r="D2" s="81"/>
      <c r="E2" s="81"/>
      <c r="F2" s="83"/>
      <c r="G2" s="84"/>
      <c r="H2" s="86"/>
      <c r="I2" s="86"/>
      <c r="J2" s="86"/>
      <c r="K2" s="86"/>
      <c r="L2" s="86"/>
    </row>
    <row r="3" spans="1:7" s="22" customFormat="1" ht="28.5" customHeight="1">
      <c r="A3" s="88"/>
      <c r="B3" s="88"/>
      <c r="C3" s="89"/>
      <c r="D3" s="89"/>
      <c r="E3" s="89"/>
      <c r="F3" s="80"/>
      <c r="G3" s="76"/>
    </row>
    <row r="4" spans="1:12" s="3" customFormat="1" ht="29.25" customHeight="1">
      <c r="A4" s="1" t="str">
        <f>A7</f>
        <v>TRANSLATION TABLE</v>
      </c>
      <c r="B4" s="2"/>
      <c r="C4" s="2"/>
      <c r="D4" s="2"/>
      <c r="E4" s="2"/>
      <c r="F4" s="2"/>
      <c r="G4" s="2"/>
      <c r="H4" s="2"/>
      <c r="I4" s="2"/>
      <c r="J4" s="2"/>
      <c r="K4" s="2"/>
      <c r="L4" s="2"/>
    </row>
    <row r="5" spans="1:12" s="6" customFormat="1" ht="18.75" customHeight="1">
      <c r="A5" s="4" t="str">
        <f>A8</f>
        <v>Please fill your language code in a light green cell, fill the translation of each item in the column below and put the code of your language in dark blue cell of first column:</v>
      </c>
      <c r="B5" s="5"/>
      <c r="C5" s="5"/>
      <c r="D5" s="5"/>
      <c r="E5" s="5"/>
      <c r="F5" s="5"/>
      <c r="G5" s="5"/>
      <c r="H5" s="5"/>
      <c r="I5" s="5"/>
      <c r="J5" s="5"/>
      <c r="K5" s="5"/>
      <c r="L5" s="5"/>
    </row>
    <row r="6" spans="1:12" s="8" customFormat="1" ht="34.5" customHeight="1">
      <c r="A6" s="207" t="str">
        <f>'Start here'!B4</f>
        <v>EN</v>
      </c>
      <c r="B6" s="7" t="s">
        <v>1100</v>
      </c>
      <c r="C6" s="7" t="s">
        <v>1101</v>
      </c>
      <c r="D6" s="7" t="s">
        <v>1102</v>
      </c>
      <c r="E6" s="7" t="s">
        <v>1103</v>
      </c>
      <c r="F6" s="7" t="s">
        <v>1104</v>
      </c>
      <c r="G6" s="7" t="s">
        <v>1105</v>
      </c>
      <c r="H6" s="7" t="s">
        <v>1106</v>
      </c>
      <c r="I6" s="7" t="s">
        <v>1107</v>
      </c>
      <c r="J6" s="7" t="s">
        <v>1282</v>
      </c>
      <c r="K6" s="7" t="s">
        <v>1109</v>
      </c>
      <c r="L6" s="7" t="s">
        <v>1110</v>
      </c>
    </row>
    <row r="7" spans="1:12" s="10" customFormat="1" ht="12">
      <c r="A7" s="20" t="str">
        <f>IF($A$6=$B$6,B7,"")&amp;IF($A$6=$C$6,C7,"")&amp;IF($A$6=$D$6,D7,"")&amp;IF($A$6=$E$6,E7,"")&amp;IF($A$6=$F$6,F7,"")&amp;IF($A$6=$G$6,G7,"")&amp;IF($A$6=$H$6,H7,"")&amp;IF($A$6=$I$6,I7,"")&amp;IF($A$6=$J$6,J7,"")&amp;IF($A$6=$K$6,K7,"")&amp;IF($A$6=$L$6,L7,"")</f>
        <v>TRANSLATION TABLE</v>
      </c>
      <c r="B7" s="9" t="s">
        <v>1111</v>
      </c>
      <c r="C7" s="9" t="s">
        <v>1112</v>
      </c>
      <c r="D7" s="9" t="s">
        <v>610</v>
      </c>
      <c r="E7" s="9"/>
      <c r="F7" s="45" t="s">
        <v>1333</v>
      </c>
      <c r="G7" s="9" t="s">
        <v>983</v>
      </c>
      <c r="H7" s="9" t="s">
        <v>1234</v>
      </c>
      <c r="I7" s="9" t="s">
        <v>808</v>
      </c>
      <c r="J7" s="9" t="s">
        <v>1283</v>
      </c>
      <c r="K7" s="9"/>
      <c r="L7" s="9"/>
    </row>
    <row r="8" spans="1:12" s="10" customFormat="1" ht="60">
      <c r="A8" s="20" t="str">
        <f aca="true" t="shared" si="0" ref="A8:A72">IF($A$6=$B$6,B8,"")&amp;IF($A$6=$C$6,C8,"")&amp;IF($A$6=$D$6,D8,"")&amp;IF($A$6=$E$6,E8,"")&amp;IF($A$6=$F$6,F8,"")&amp;IF($A$6=$G$6,G8,"")&amp;IF($A$6=$H$6,H8,"")&amp;IF($A$6=$I$6,I8,"")&amp;IF($A$6=$J$6,J8,"")&amp;IF($A$6=$K$6,K8,"")&amp;IF($A$6=$L$6,L8,"")</f>
        <v>Please fill your language code in a light green cell, fill the translation of each item in the column below and put the code of your language in dark blue cell of first column:</v>
      </c>
      <c r="B8" s="9" t="s">
        <v>1113</v>
      </c>
      <c r="C8" s="9" t="s">
        <v>1114</v>
      </c>
      <c r="D8" s="9" t="s">
        <v>611</v>
      </c>
      <c r="E8" s="9"/>
      <c r="F8" s="45" t="s">
        <v>1334</v>
      </c>
      <c r="G8" s="9" t="s">
        <v>984</v>
      </c>
      <c r="H8" s="9" t="s">
        <v>5</v>
      </c>
      <c r="I8" s="9" t="s">
        <v>809</v>
      </c>
      <c r="J8" s="9" t="s">
        <v>1284</v>
      </c>
      <c r="K8" s="9"/>
      <c r="L8" s="9"/>
    </row>
    <row r="9" spans="1:12" s="10" customFormat="1" ht="12">
      <c r="A9" s="20" t="str">
        <f t="shared" si="0"/>
        <v>Language</v>
      </c>
      <c r="B9" s="9" t="s">
        <v>424</v>
      </c>
      <c r="C9" s="9" t="s">
        <v>425</v>
      </c>
      <c r="D9" s="9" t="s">
        <v>425</v>
      </c>
      <c r="E9" s="9"/>
      <c r="F9" s="45" t="s">
        <v>512</v>
      </c>
      <c r="G9" s="9" t="s">
        <v>985</v>
      </c>
      <c r="H9" s="9" t="s">
        <v>769</v>
      </c>
      <c r="I9" s="9" t="s">
        <v>810</v>
      </c>
      <c r="J9" s="9" t="s">
        <v>509</v>
      </c>
      <c r="K9" s="9"/>
      <c r="L9" s="9"/>
    </row>
    <row r="10" spans="1:12" s="10" customFormat="1" ht="12">
      <c r="A10" s="20" t="str">
        <f t="shared" si="0"/>
        <v>Island</v>
      </c>
      <c r="B10" s="9" t="s">
        <v>388</v>
      </c>
      <c r="C10" s="9" t="s">
        <v>387</v>
      </c>
      <c r="D10" s="9" t="s">
        <v>612</v>
      </c>
      <c r="E10" s="9"/>
      <c r="F10" s="45" t="s">
        <v>386</v>
      </c>
      <c r="G10" s="9" t="s">
        <v>385</v>
      </c>
      <c r="H10" s="9" t="s">
        <v>384</v>
      </c>
      <c r="I10" s="9" t="s">
        <v>811</v>
      </c>
      <c r="J10" s="9" t="s">
        <v>383</v>
      </c>
      <c r="K10" s="9"/>
      <c r="L10" s="9"/>
    </row>
    <row r="11" spans="1:12" s="10" customFormat="1" ht="12">
      <c r="A11" s="20" t="str">
        <f t="shared" si="0"/>
        <v>Year</v>
      </c>
      <c r="B11" s="9" t="s">
        <v>382</v>
      </c>
      <c r="C11" s="9" t="s">
        <v>381</v>
      </c>
      <c r="D11" s="9" t="s">
        <v>613</v>
      </c>
      <c r="E11" s="9"/>
      <c r="F11" s="45" t="s">
        <v>380</v>
      </c>
      <c r="G11" s="9" t="s">
        <v>379</v>
      </c>
      <c r="H11" s="9" t="s">
        <v>379</v>
      </c>
      <c r="I11" s="9" t="s">
        <v>812</v>
      </c>
      <c r="J11" s="9" t="s">
        <v>378</v>
      </c>
      <c r="K11" s="9"/>
      <c r="L11" s="9"/>
    </row>
    <row r="12" spans="1:12" s="10" customFormat="1" ht="12">
      <c r="A12" s="20" t="str">
        <f t="shared" si="0"/>
        <v>Baseline year</v>
      </c>
      <c r="B12" s="9" t="s">
        <v>412</v>
      </c>
      <c r="C12" s="9" t="s">
        <v>413</v>
      </c>
      <c r="D12" s="9" t="s">
        <v>614</v>
      </c>
      <c r="E12" s="9"/>
      <c r="F12" s="45" t="s">
        <v>513</v>
      </c>
      <c r="G12" s="9" t="s">
        <v>986</v>
      </c>
      <c r="H12" s="9" t="s">
        <v>770</v>
      </c>
      <c r="I12" s="9" t="s">
        <v>813</v>
      </c>
      <c r="J12" s="9" t="s">
        <v>511</v>
      </c>
      <c r="K12" s="9"/>
      <c r="L12" s="9"/>
    </row>
    <row r="13" spans="1:12" s="10" customFormat="1" ht="12">
      <c r="A13" s="20" t="str">
        <f t="shared" si="0"/>
        <v>CO2 calculation method</v>
      </c>
      <c r="B13" s="9" t="s">
        <v>377</v>
      </c>
      <c r="C13" s="9" t="s">
        <v>376</v>
      </c>
      <c r="D13" s="9" t="s">
        <v>376</v>
      </c>
      <c r="E13" s="9"/>
      <c r="F13" s="45" t="s">
        <v>375</v>
      </c>
      <c r="G13" s="9" t="s">
        <v>987</v>
      </c>
      <c r="H13" s="9" t="s">
        <v>374</v>
      </c>
      <c r="I13" s="9" t="s">
        <v>814</v>
      </c>
      <c r="J13" s="9" t="s">
        <v>373</v>
      </c>
      <c r="K13" s="9"/>
      <c r="L13" s="9"/>
    </row>
    <row r="14" spans="1:12" s="10" customFormat="1" ht="12">
      <c r="A14" s="20" t="str">
        <f t="shared" si="0"/>
        <v>IPCC emission factors</v>
      </c>
      <c r="B14" s="9" t="s">
        <v>372</v>
      </c>
      <c r="C14" s="9" t="s">
        <v>371</v>
      </c>
      <c r="D14" s="9" t="s">
        <v>615</v>
      </c>
      <c r="E14" s="9"/>
      <c r="F14" s="45" t="s">
        <v>370</v>
      </c>
      <c r="G14" s="9" t="s">
        <v>988</v>
      </c>
      <c r="H14" s="9" t="s">
        <v>369</v>
      </c>
      <c r="I14" s="9" t="s">
        <v>815</v>
      </c>
      <c r="J14" s="9" t="s">
        <v>368</v>
      </c>
      <c r="K14" s="9"/>
      <c r="L14" s="9"/>
    </row>
    <row r="15" spans="1:12" s="10" customFormat="1" ht="24">
      <c r="A15" s="20" t="str">
        <f t="shared" si="0"/>
        <v>Life Cicle Analysis (LCA) emission factors</v>
      </c>
      <c r="B15" s="9" t="s">
        <v>367</v>
      </c>
      <c r="C15" s="9" t="s">
        <v>366</v>
      </c>
      <c r="D15" s="9" t="s">
        <v>616</v>
      </c>
      <c r="E15" s="9"/>
      <c r="F15" s="45" t="s">
        <v>365</v>
      </c>
      <c r="G15" s="9" t="s">
        <v>989</v>
      </c>
      <c r="H15" s="9" t="s">
        <v>364</v>
      </c>
      <c r="I15" s="9" t="s">
        <v>816</v>
      </c>
      <c r="J15" s="9" t="s">
        <v>363</v>
      </c>
      <c r="K15" s="9"/>
      <c r="L15" s="9"/>
    </row>
    <row r="16" spans="1:12" s="10" customFormat="1" ht="12">
      <c r="A16" s="20" t="str">
        <f t="shared" si="0"/>
        <v>Emission reporting unit</v>
      </c>
      <c r="B16" s="9" t="s">
        <v>18</v>
      </c>
      <c r="C16" s="9" t="s">
        <v>132</v>
      </c>
      <c r="D16" s="9" t="s">
        <v>617</v>
      </c>
      <c r="E16" s="9"/>
      <c r="F16" s="45" t="s">
        <v>514</v>
      </c>
      <c r="G16" s="9" t="s">
        <v>973</v>
      </c>
      <c r="H16" s="9" t="s">
        <v>771</v>
      </c>
      <c r="I16" s="9" t="s">
        <v>972</v>
      </c>
      <c r="J16" s="9" t="s">
        <v>510</v>
      </c>
      <c r="K16" s="9"/>
      <c r="L16" s="9"/>
    </row>
    <row r="17" spans="1:12" s="11" customFormat="1" ht="13.5">
      <c r="A17" s="20" t="str">
        <f t="shared" si="0"/>
        <v>[t CO2]</v>
      </c>
      <c r="B17" s="9" t="s">
        <v>416</v>
      </c>
      <c r="C17" s="9" t="s">
        <v>416</v>
      </c>
      <c r="D17" s="9" t="s">
        <v>416</v>
      </c>
      <c r="E17" s="9" t="s">
        <v>416</v>
      </c>
      <c r="F17" s="45" t="s">
        <v>420</v>
      </c>
      <c r="G17" s="9" t="s">
        <v>990</v>
      </c>
      <c r="H17" s="9" t="s">
        <v>416</v>
      </c>
      <c r="I17" s="9" t="s">
        <v>416</v>
      </c>
      <c r="J17" s="9" t="s">
        <v>416</v>
      </c>
      <c r="K17" s="9"/>
      <c r="L17" s="9"/>
    </row>
    <row r="18" spans="1:12" s="11" customFormat="1" ht="13.5">
      <c r="A18" s="20" t="str">
        <f t="shared" si="0"/>
        <v>[t CO2eq]</v>
      </c>
      <c r="B18" s="9" t="s">
        <v>418</v>
      </c>
      <c r="C18" s="9" t="s">
        <v>418</v>
      </c>
      <c r="D18" s="9" t="s">
        <v>418</v>
      </c>
      <c r="E18" s="9" t="s">
        <v>418</v>
      </c>
      <c r="F18" s="45" t="s">
        <v>421</v>
      </c>
      <c r="G18" s="9" t="s">
        <v>991</v>
      </c>
      <c r="H18" s="9" t="s">
        <v>418</v>
      </c>
      <c r="I18" s="9" t="s">
        <v>418</v>
      </c>
      <c r="J18" s="9" t="s">
        <v>418</v>
      </c>
      <c r="K18" s="9"/>
      <c r="L18" s="9"/>
    </row>
    <row r="19" spans="1:12" s="11" customFormat="1" ht="13.5">
      <c r="A19" s="20" t="str">
        <f t="shared" si="0"/>
        <v>[t CO2/MWh]</v>
      </c>
      <c r="B19" s="9" t="s">
        <v>417</v>
      </c>
      <c r="C19" s="9" t="s">
        <v>417</v>
      </c>
      <c r="D19" s="9" t="s">
        <v>417</v>
      </c>
      <c r="E19" s="9" t="s">
        <v>417</v>
      </c>
      <c r="F19" s="45" t="s">
        <v>422</v>
      </c>
      <c r="G19" s="9" t="s">
        <v>992</v>
      </c>
      <c r="H19" s="9" t="s">
        <v>417</v>
      </c>
      <c r="I19" s="9" t="s">
        <v>417</v>
      </c>
      <c r="J19" s="9" t="s">
        <v>417</v>
      </c>
      <c r="K19" s="9"/>
      <c r="L19" s="9"/>
    </row>
    <row r="20" spans="1:12" s="11" customFormat="1" ht="13.5">
      <c r="A20" s="20" t="str">
        <f t="shared" si="0"/>
        <v>[t CO2eq/MWh]</v>
      </c>
      <c r="B20" s="9" t="s">
        <v>419</v>
      </c>
      <c r="C20" s="9" t="s">
        <v>419</v>
      </c>
      <c r="D20" s="9" t="s">
        <v>419</v>
      </c>
      <c r="E20" s="9" t="s">
        <v>419</v>
      </c>
      <c r="F20" s="45" t="s">
        <v>423</v>
      </c>
      <c r="G20" s="9" t="s">
        <v>993</v>
      </c>
      <c r="H20" s="9" t="s">
        <v>419</v>
      </c>
      <c r="I20" s="9" t="s">
        <v>419</v>
      </c>
      <c r="J20" s="9" t="s">
        <v>419</v>
      </c>
      <c r="K20" s="9"/>
      <c r="L20" s="9"/>
    </row>
    <row r="21" spans="1:12" s="11" customFormat="1" ht="12">
      <c r="A21" s="20" t="str">
        <f t="shared" si="0"/>
        <v>[MWh]</v>
      </c>
      <c r="B21" s="9" t="s">
        <v>116</v>
      </c>
      <c r="C21" s="9" t="s">
        <v>116</v>
      </c>
      <c r="D21" s="9" t="s">
        <v>116</v>
      </c>
      <c r="E21" s="9" t="s">
        <v>116</v>
      </c>
      <c r="F21" s="45" t="s">
        <v>116</v>
      </c>
      <c r="G21" s="9" t="s">
        <v>116</v>
      </c>
      <c r="H21" s="9" t="s">
        <v>116</v>
      </c>
      <c r="I21" s="9" t="s">
        <v>116</v>
      </c>
      <c r="J21" s="9" t="s">
        <v>116</v>
      </c>
      <c r="K21" s="9"/>
      <c r="L21" s="9"/>
    </row>
    <row r="22" spans="1:12" s="11" customFormat="1" ht="12">
      <c r="A22" s="20" t="str">
        <f t="shared" si="0"/>
        <v>[%]</v>
      </c>
      <c r="B22" s="9" t="s">
        <v>450</v>
      </c>
      <c r="C22" s="9" t="s">
        <v>450</v>
      </c>
      <c r="D22" s="9" t="s">
        <v>450</v>
      </c>
      <c r="E22" s="9" t="s">
        <v>450</v>
      </c>
      <c r="F22" s="9" t="s">
        <v>450</v>
      </c>
      <c r="G22" s="9" t="s">
        <v>450</v>
      </c>
      <c r="H22" s="9" t="s">
        <v>450</v>
      </c>
      <c r="I22" s="9" t="s">
        <v>450</v>
      </c>
      <c r="J22" s="9" t="s">
        <v>450</v>
      </c>
      <c r="K22" s="9"/>
      <c r="L22" s="9"/>
    </row>
    <row r="23" spans="1:12" s="10" customFormat="1" ht="12">
      <c r="A23" s="20" t="str">
        <f t="shared" si="0"/>
        <v>Sheet</v>
      </c>
      <c r="B23" s="9" t="s">
        <v>408</v>
      </c>
      <c r="C23" s="9" t="s">
        <v>407</v>
      </c>
      <c r="D23" s="9" t="s">
        <v>618</v>
      </c>
      <c r="E23" s="9"/>
      <c r="F23" s="45" t="s">
        <v>406</v>
      </c>
      <c r="G23" s="9" t="s">
        <v>405</v>
      </c>
      <c r="H23" s="9" t="s">
        <v>404</v>
      </c>
      <c r="I23" s="9" t="s">
        <v>818</v>
      </c>
      <c r="J23" s="9" t="s">
        <v>403</v>
      </c>
      <c r="K23" s="9"/>
      <c r="L23" s="9"/>
    </row>
    <row r="24" spans="1:12" s="10" customFormat="1" ht="12">
      <c r="A24" s="20" t="str">
        <f t="shared" si="0"/>
        <v>Contents</v>
      </c>
      <c r="B24" s="9" t="s">
        <v>402</v>
      </c>
      <c r="C24" s="9" t="s">
        <v>401</v>
      </c>
      <c r="D24" s="9" t="s">
        <v>619</v>
      </c>
      <c r="E24" s="9"/>
      <c r="F24" s="45" t="s">
        <v>400</v>
      </c>
      <c r="G24" s="9" t="s">
        <v>399</v>
      </c>
      <c r="H24" s="9" t="s">
        <v>398</v>
      </c>
      <c r="I24" s="9" t="s">
        <v>819</v>
      </c>
      <c r="J24" s="9" t="s">
        <v>397</v>
      </c>
      <c r="K24" s="9"/>
      <c r="L24" s="9"/>
    </row>
    <row r="25" spans="1:12" s="10" customFormat="1" ht="24">
      <c r="A25" s="20" t="str">
        <f t="shared" si="0"/>
        <v>Is intended to enable the translation of the tables.</v>
      </c>
      <c r="B25" s="9" t="s">
        <v>396</v>
      </c>
      <c r="C25" s="9" t="s">
        <v>395</v>
      </c>
      <c r="D25" s="9" t="s">
        <v>620</v>
      </c>
      <c r="E25" s="9"/>
      <c r="F25" s="45" t="s">
        <v>394</v>
      </c>
      <c r="G25" s="9" t="s">
        <v>994</v>
      </c>
      <c r="H25" s="9" t="s">
        <v>393</v>
      </c>
      <c r="I25" s="9" t="s">
        <v>820</v>
      </c>
      <c r="J25" s="9" t="s">
        <v>392</v>
      </c>
      <c r="K25" s="9"/>
      <c r="L25" s="9"/>
    </row>
    <row r="26" spans="1:12" s="10" customFormat="1" ht="24">
      <c r="A26" s="20" t="str">
        <f t="shared" si="0"/>
        <v>To insert CO2 emission factors for calculating emissions.</v>
      </c>
      <c r="B26" s="9" t="s">
        <v>454</v>
      </c>
      <c r="C26" s="9" t="s">
        <v>455</v>
      </c>
      <c r="D26" s="9" t="s">
        <v>621</v>
      </c>
      <c r="E26" s="9"/>
      <c r="F26" s="45" t="s">
        <v>391</v>
      </c>
      <c r="G26" s="9" t="s">
        <v>995</v>
      </c>
      <c r="H26" s="9" t="s">
        <v>390</v>
      </c>
      <c r="I26" s="9" t="s">
        <v>821</v>
      </c>
      <c r="J26" s="9" t="s">
        <v>389</v>
      </c>
      <c r="K26" s="9"/>
      <c r="L26" s="9"/>
    </row>
    <row r="27" spans="1:12" s="10" customFormat="1" ht="36">
      <c r="A27" s="20" t="str">
        <f t="shared" si="0"/>
        <v>To establish ISEAP targets, long-term vision and organizational and financial aspects.</v>
      </c>
      <c r="B27" s="9" t="s">
        <v>456</v>
      </c>
      <c r="C27" s="9" t="s">
        <v>457</v>
      </c>
      <c r="D27" s="9" t="s">
        <v>622</v>
      </c>
      <c r="E27" s="9"/>
      <c r="F27" s="45" t="s">
        <v>515</v>
      </c>
      <c r="G27" s="9" t="s">
        <v>996</v>
      </c>
      <c r="H27" s="9" t="s">
        <v>772</v>
      </c>
      <c r="I27" s="9" t="s">
        <v>822</v>
      </c>
      <c r="J27" s="233" t="s">
        <v>576</v>
      </c>
      <c r="K27" s="9"/>
      <c r="L27" s="9"/>
    </row>
    <row r="28" spans="1:12" s="10" customFormat="1" ht="25.5">
      <c r="A28" s="20" t="str">
        <f t="shared" si="0"/>
        <v>To present the baseline energy balance and CO2 emissions inventory.</v>
      </c>
      <c r="B28" s="9" t="s">
        <v>459</v>
      </c>
      <c r="C28" s="9" t="s">
        <v>458</v>
      </c>
      <c r="D28" s="9" t="s">
        <v>623</v>
      </c>
      <c r="E28" s="9"/>
      <c r="F28" s="45" t="s">
        <v>516</v>
      </c>
      <c r="G28" s="9" t="s">
        <v>997</v>
      </c>
      <c r="H28" s="9" t="s">
        <v>773</v>
      </c>
      <c r="I28" s="9" t="s">
        <v>823</v>
      </c>
      <c r="J28" s="233" t="s">
        <v>577</v>
      </c>
      <c r="K28" s="9"/>
      <c r="L28" s="9"/>
    </row>
    <row r="29" spans="1:12" s="10" customFormat="1" ht="25.5">
      <c r="A29" s="20" t="str">
        <f t="shared" si="0"/>
        <v>To present the plan energy balance in 2020 and CO2 emissions inventory.</v>
      </c>
      <c r="B29" s="9" t="s">
        <v>460</v>
      </c>
      <c r="C29" s="9" t="s">
        <v>461</v>
      </c>
      <c r="D29" s="9" t="s">
        <v>624</v>
      </c>
      <c r="E29" s="9"/>
      <c r="F29" s="45" t="s">
        <v>517</v>
      </c>
      <c r="G29" s="9" t="s">
        <v>998</v>
      </c>
      <c r="H29" s="9" t="s">
        <v>774</v>
      </c>
      <c r="I29" s="9" t="s">
        <v>824</v>
      </c>
      <c r="J29" s="233" t="s">
        <v>578</v>
      </c>
      <c r="K29" s="9"/>
      <c r="L29" s="9"/>
    </row>
    <row r="30" spans="1:12" s="10" customFormat="1" ht="36">
      <c r="A30" s="20" t="str">
        <f t="shared" si="0"/>
        <v>To present the list of energy sustainable actions, the investment and reduction of CO2 emissions.</v>
      </c>
      <c r="B30" s="9" t="s">
        <v>462</v>
      </c>
      <c r="C30" s="9" t="s">
        <v>463</v>
      </c>
      <c r="D30" s="9" t="s">
        <v>625</v>
      </c>
      <c r="E30" s="9"/>
      <c r="F30" s="45" t="s">
        <v>518</v>
      </c>
      <c r="G30" s="9" t="s">
        <v>999</v>
      </c>
      <c r="H30" s="9" t="s">
        <v>775</v>
      </c>
      <c r="I30" s="9" t="s">
        <v>825</v>
      </c>
      <c r="J30" s="233" t="s">
        <v>579</v>
      </c>
      <c r="K30" s="9"/>
      <c r="L30" s="9"/>
    </row>
    <row r="31" spans="1:12" s="10" customFormat="1" ht="24">
      <c r="A31" s="20" t="str">
        <f t="shared" si="0"/>
        <v>Island  Sustainable Energy Action Plan (ISEAP)</v>
      </c>
      <c r="B31" s="9" t="s">
        <v>1153</v>
      </c>
      <c r="C31" s="9" t="s">
        <v>1423</v>
      </c>
      <c r="D31" s="9" t="s">
        <v>626</v>
      </c>
      <c r="E31" s="9"/>
      <c r="F31" s="45" t="s">
        <v>1335</v>
      </c>
      <c r="G31" s="9" t="s">
        <v>1000</v>
      </c>
      <c r="H31" s="9" t="s">
        <v>1235</v>
      </c>
      <c r="I31" s="9" t="s">
        <v>826</v>
      </c>
      <c r="J31" s="9" t="s">
        <v>1285</v>
      </c>
      <c r="K31" s="9"/>
      <c r="L31" s="9"/>
    </row>
    <row r="32" spans="1:12" s="10" customFormat="1" ht="12">
      <c r="A32" s="20" t="str">
        <f t="shared" si="0"/>
        <v>Instructions</v>
      </c>
      <c r="B32" s="9" t="s">
        <v>1090</v>
      </c>
      <c r="C32" s="9" t="s">
        <v>1179</v>
      </c>
      <c r="D32" s="9" t="s">
        <v>627</v>
      </c>
      <c r="E32" s="9"/>
      <c r="F32" s="45" t="s">
        <v>1336</v>
      </c>
      <c r="G32" s="9" t="s">
        <v>1211</v>
      </c>
      <c r="H32" s="9" t="s">
        <v>1211</v>
      </c>
      <c r="I32" s="9" t="s">
        <v>827</v>
      </c>
      <c r="J32" s="9" t="s">
        <v>1286</v>
      </c>
      <c r="K32" s="9"/>
      <c r="L32" s="9"/>
    </row>
    <row r="33" spans="1:12" s="10" customFormat="1" ht="12">
      <c r="A33" s="20" t="str">
        <f t="shared" si="0"/>
        <v>OVERALL STRATEGY</v>
      </c>
      <c r="B33" s="9" t="s">
        <v>7</v>
      </c>
      <c r="C33" s="9" t="s">
        <v>25</v>
      </c>
      <c r="D33" s="9" t="s">
        <v>628</v>
      </c>
      <c r="E33" s="9"/>
      <c r="F33" s="45" t="s">
        <v>519</v>
      </c>
      <c r="G33" s="9" t="s">
        <v>1001</v>
      </c>
      <c r="H33" s="9" t="s">
        <v>776</v>
      </c>
      <c r="I33" s="9" t="s">
        <v>828</v>
      </c>
      <c r="J33" s="233" t="s">
        <v>580</v>
      </c>
      <c r="K33" s="9"/>
      <c r="L33" s="9"/>
    </row>
    <row r="34" spans="1:12" s="10" customFormat="1" ht="25.5">
      <c r="A34" s="20" t="str">
        <f t="shared" si="0"/>
        <v>OVERALL CO2 EMISSION REDUCTION TARGET BY 2020</v>
      </c>
      <c r="B34" s="9" t="s">
        <v>497</v>
      </c>
      <c r="C34" s="9" t="s">
        <v>498</v>
      </c>
      <c r="D34" s="9" t="s">
        <v>629</v>
      </c>
      <c r="E34" s="9"/>
      <c r="F34" s="45" t="s">
        <v>520</v>
      </c>
      <c r="G34" s="9" t="s">
        <v>1002</v>
      </c>
      <c r="H34" s="9" t="s">
        <v>777</v>
      </c>
      <c r="I34" s="9" t="s">
        <v>829</v>
      </c>
      <c r="J34" s="233" t="s">
        <v>581</v>
      </c>
      <c r="K34" s="9"/>
      <c r="L34" s="9"/>
    </row>
    <row r="35" spans="1:12" s="10" customFormat="1" ht="12">
      <c r="A35" s="20" t="str">
        <f t="shared" si="0"/>
        <v>Please select the corresponding box</v>
      </c>
      <c r="B35" s="9" t="s">
        <v>430</v>
      </c>
      <c r="C35" s="9" t="s">
        <v>431</v>
      </c>
      <c r="D35" s="9" t="s">
        <v>630</v>
      </c>
      <c r="E35" s="9"/>
      <c r="F35" s="45" t="s">
        <v>521</v>
      </c>
      <c r="G35" s="9" t="s">
        <v>1003</v>
      </c>
      <c r="H35" s="9" t="s">
        <v>778</v>
      </c>
      <c r="I35" s="9" t="s">
        <v>830</v>
      </c>
      <c r="J35" s="233" t="s">
        <v>582</v>
      </c>
      <c r="K35" s="9"/>
      <c r="L35" s="9"/>
    </row>
    <row r="36" spans="1:12" s="10" customFormat="1" ht="12">
      <c r="A36" s="20" t="str">
        <f t="shared" si="0"/>
        <v>Absolute reduction</v>
      </c>
      <c r="B36" s="9" t="s">
        <v>8</v>
      </c>
      <c r="C36" s="9" t="s">
        <v>123</v>
      </c>
      <c r="D36" s="9" t="s">
        <v>631</v>
      </c>
      <c r="E36" s="9"/>
      <c r="F36" s="45" t="s">
        <v>522</v>
      </c>
      <c r="G36" s="9" t="s">
        <v>974</v>
      </c>
      <c r="H36" s="9" t="s">
        <v>779</v>
      </c>
      <c r="I36" s="9" t="s">
        <v>831</v>
      </c>
      <c r="J36" s="233" t="s">
        <v>583</v>
      </c>
      <c r="K36" s="9"/>
      <c r="L36" s="9"/>
    </row>
    <row r="37" spans="1:12" s="10" customFormat="1" ht="12">
      <c r="A37" s="20" t="str">
        <f t="shared" si="0"/>
        <v>or</v>
      </c>
      <c r="B37" s="9" t="s">
        <v>464</v>
      </c>
      <c r="C37" s="9" t="s">
        <v>465</v>
      </c>
      <c r="D37" s="9" t="s">
        <v>632</v>
      </c>
      <c r="E37" s="9"/>
      <c r="F37" s="45" t="s">
        <v>523</v>
      </c>
      <c r="G37" s="9" t="s">
        <v>780</v>
      </c>
      <c r="H37" s="9" t="s">
        <v>780</v>
      </c>
      <c r="I37" s="9" t="s">
        <v>832</v>
      </c>
      <c r="J37" s="233" t="s">
        <v>584</v>
      </c>
      <c r="K37" s="9"/>
      <c r="L37" s="9"/>
    </row>
    <row r="38" spans="1:12" s="10" customFormat="1" ht="12">
      <c r="A38" s="20" t="str">
        <f t="shared" si="0"/>
        <v>Per capita reduction</v>
      </c>
      <c r="B38" s="9" t="s">
        <v>9</v>
      </c>
      <c r="C38" s="9" t="s">
        <v>124</v>
      </c>
      <c r="D38" s="9" t="s">
        <v>633</v>
      </c>
      <c r="E38" s="9"/>
      <c r="F38" s="45" t="s">
        <v>524</v>
      </c>
      <c r="G38" s="9" t="s">
        <v>975</v>
      </c>
      <c r="H38" s="9" t="s">
        <v>781</v>
      </c>
      <c r="I38" s="9" t="s">
        <v>833</v>
      </c>
      <c r="J38" s="233" t="s">
        <v>585</v>
      </c>
      <c r="K38" s="9"/>
      <c r="L38" s="9"/>
    </row>
    <row r="39" spans="1:12" s="10" customFormat="1" ht="12">
      <c r="A39" s="20" t="str">
        <f t="shared" si="0"/>
        <v>Target not achieved</v>
      </c>
      <c r="B39" s="9" t="s">
        <v>466</v>
      </c>
      <c r="C39" s="9" t="s">
        <v>467</v>
      </c>
      <c r="D39" s="9" t="s">
        <v>634</v>
      </c>
      <c r="E39" s="9"/>
      <c r="F39" s="45" t="s">
        <v>525</v>
      </c>
      <c r="G39" s="9" t="s">
        <v>1004</v>
      </c>
      <c r="H39" s="9" t="s">
        <v>782</v>
      </c>
      <c r="I39" s="9" t="s">
        <v>834</v>
      </c>
      <c r="J39" s="233" t="s">
        <v>586</v>
      </c>
      <c r="K39" s="9"/>
      <c r="L39" s="9"/>
    </row>
    <row r="40" spans="1:12" s="10" customFormat="1" ht="48">
      <c r="A40" s="20" t="str">
        <f t="shared" si="0"/>
        <v>LONG-TERM VISION OF YOUR LOCAL AUTHORITY (please include priority areas, main trends and challenges)</v>
      </c>
      <c r="B40" s="9" t="s">
        <v>499</v>
      </c>
      <c r="C40" s="9" t="s">
        <v>500</v>
      </c>
      <c r="D40" s="9" t="s">
        <v>635</v>
      </c>
      <c r="E40" s="9"/>
      <c r="F40" s="45" t="s">
        <v>526</v>
      </c>
      <c r="G40" s="9" t="s">
        <v>1005</v>
      </c>
      <c r="H40" s="9" t="s">
        <v>783</v>
      </c>
      <c r="I40" s="9" t="s">
        <v>835</v>
      </c>
      <c r="J40" s="233" t="s">
        <v>587</v>
      </c>
      <c r="K40" s="9"/>
      <c r="L40" s="9"/>
    </row>
    <row r="41" spans="1:12" s="10" customFormat="1" ht="12">
      <c r="A41" s="20" t="str">
        <f t="shared" si="0"/>
        <v>ORGANISATIONAL AND FINANCIAL ASPECTS</v>
      </c>
      <c r="B41" s="9" t="s">
        <v>501</v>
      </c>
      <c r="C41" s="9" t="s">
        <v>502</v>
      </c>
      <c r="D41" s="9" t="s">
        <v>636</v>
      </c>
      <c r="E41" s="9"/>
      <c r="F41" s="45" t="s">
        <v>527</v>
      </c>
      <c r="G41" s="9" t="s">
        <v>976</v>
      </c>
      <c r="H41" s="9" t="s">
        <v>784</v>
      </c>
      <c r="I41" s="9" t="s">
        <v>836</v>
      </c>
      <c r="J41" s="233" t="s">
        <v>588</v>
      </c>
      <c r="K41" s="9"/>
      <c r="L41" s="9"/>
    </row>
    <row r="42" spans="1:12" s="10" customFormat="1" ht="24">
      <c r="A42" s="20" t="str">
        <f t="shared" si="0"/>
        <v>Coordination and organisational structures created/assigned</v>
      </c>
      <c r="B42" s="9" t="s">
        <v>10</v>
      </c>
      <c r="C42" s="9" t="s">
        <v>125</v>
      </c>
      <c r="D42" s="9" t="s">
        <v>637</v>
      </c>
      <c r="E42" s="9"/>
      <c r="F42" s="45" t="s">
        <v>528</v>
      </c>
      <c r="G42" s="9" t="s">
        <v>977</v>
      </c>
      <c r="H42" s="9" t="s">
        <v>785</v>
      </c>
      <c r="I42" s="9" t="s">
        <v>837</v>
      </c>
      <c r="J42" s="233" t="s">
        <v>589</v>
      </c>
      <c r="K42" s="9"/>
      <c r="L42" s="9"/>
    </row>
    <row r="43" spans="1:12" s="10" customFormat="1" ht="12">
      <c r="A43" s="20" t="str">
        <f t="shared" si="0"/>
        <v>Staff capacity allocated</v>
      </c>
      <c r="B43" s="9" t="s">
        <v>11</v>
      </c>
      <c r="C43" s="9" t="s">
        <v>126</v>
      </c>
      <c r="D43" s="9" t="s">
        <v>638</v>
      </c>
      <c r="E43" s="9"/>
      <c r="F43" s="45" t="s">
        <v>529</v>
      </c>
      <c r="G43" s="9" t="s">
        <v>978</v>
      </c>
      <c r="H43" s="9" t="s">
        <v>786</v>
      </c>
      <c r="I43" s="9" t="s">
        <v>838</v>
      </c>
      <c r="J43" s="233" t="s">
        <v>590</v>
      </c>
      <c r="K43" s="9"/>
      <c r="L43" s="9"/>
    </row>
    <row r="44" spans="1:12" s="10" customFormat="1" ht="24">
      <c r="A44" s="20" t="str">
        <f t="shared" si="0"/>
        <v>Involvement of stakeholders and citizens</v>
      </c>
      <c r="B44" s="9" t="s">
        <v>12</v>
      </c>
      <c r="C44" s="9" t="s">
        <v>127</v>
      </c>
      <c r="D44" s="9" t="s">
        <v>639</v>
      </c>
      <c r="E44" s="9"/>
      <c r="F44" s="45" t="s">
        <v>530</v>
      </c>
      <c r="G44" s="9" t="s">
        <v>1006</v>
      </c>
      <c r="H44" s="9" t="s">
        <v>787</v>
      </c>
      <c r="I44" s="9" t="s">
        <v>839</v>
      </c>
      <c r="J44" s="233" t="s">
        <v>591</v>
      </c>
      <c r="K44" s="9"/>
      <c r="L44" s="9"/>
    </row>
    <row r="45" spans="1:12" s="10" customFormat="1" ht="12">
      <c r="A45" s="20" t="str">
        <f t="shared" si="0"/>
        <v>Overall estimated budget</v>
      </c>
      <c r="B45" s="9" t="s">
        <v>13</v>
      </c>
      <c r="C45" s="9" t="s">
        <v>128</v>
      </c>
      <c r="D45" s="9" t="s">
        <v>640</v>
      </c>
      <c r="E45" s="9"/>
      <c r="F45" s="45" t="s">
        <v>531</v>
      </c>
      <c r="G45" s="9" t="s">
        <v>1007</v>
      </c>
      <c r="H45" s="9" t="s">
        <v>788</v>
      </c>
      <c r="I45" s="9" t="s">
        <v>840</v>
      </c>
      <c r="J45" s="233" t="s">
        <v>592</v>
      </c>
      <c r="K45" s="9"/>
      <c r="L45" s="9"/>
    </row>
    <row r="46" spans="1:12" s="10" customFormat="1" ht="24">
      <c r="A46" s="20" t="str">
        <f t="shared" si="0"/>
        <v>Foreseen financing sources for the investments within your action plan</v>
      </c>
      <c r="B46" s="9" t="s">
        <v>14</v>
      </c>
      <c r="C46" s="9" t="s">
        <v>129</v>
      </c>
      <c r="D46" s="9" t="s">
        <v>641</v>
      </c>
      <c r="E46" s="9"/>
      <c r="F46" s="45" t="s">
        <v>532</v>
      </c>
      <c r="G46" s="9" t="s">
        <v>1008</v>
      </c>
      <c r="H46" s="9" t="s">
        <v>789</v>
      </c>
      <c r="I46" s="9" t="s">
        <v>841</v>
      </c>
      <c r="J46" s="233" t="s">
        <v>593</v>
      </c>
      <c r="K46" s="9"/>
      <c r="L46" s="9"/>
    </row>
    <row r="47" spans="1:12" s="10" customFormat="1" ht="24">
      <c r="A47" s="20" t="str">
        <f t="shared" si="0"/>
        <v>Planned measures for monitoring and follow up</v>
      </c>
      <c r="B47" s="9" t="s">
        <v>15</v>
      </c>
      <c r="C47" s="9" t="s">
        <v>130</v>
      </c>
      <c r="D47" s="9" t="s">
        <v>642</v>
      </c>
      <c r="E47" s="9"/>
      <c r="F47" s="45" t="s">
        <v>533</v>
      </c>
      <c r="G47" s="9" t="s">
        <v>1009</v>
      </c>
      <c r="H47" s="9" t="s">
        <v>790</v>
      </c>
      <c r="I47" s="9" t="s">
        <v>842</v>
      </c>
      <c r="J47" s="233" t="s">
        <v>594</v>
      </c>
      <c r="K47" s="9"/>
      <c r="L47" s="9"/>
    </row>
    <row r="48" spans="1:12" s="10" customFormat="1" ht="24">
      <c r="A48" s="20" t="str">
        <f t="shared" si="0"/>
        <v>Go to the next sheet dedicated to your Baseline Emission Inventory </v>
      </c>
      <c r="B48" s="9" t="s">
        <v>503</v>
      </c>
      <c r="C48" s="9" t="s">
        <v>504</v>
      </c>
      <c r="D48" s="9" t="s">
        <v>643</v>
      </c>
      <c r="E48" s="9"/>
      <c r="F48" s="45" t="s">
        <v>534</v>
      </c>
      <c r="G48" s="9" t="s">
        <v>1010</v>
      </c>
      <c r="H48" s="9" t="s">
        <v>791</v>
      </c>
      <c r="I48" s="9" t="s">
        <v>843</v>
      </c>
      <c r="J48" s="233" t="s">
        <v>595</v>
      </c>
      <c r="K48" s="9"/>
      <c r="L48" s="9"/>
    </row>
    <row r="49" spans="1:12" s="10" customFormat="1" ht="12">
      <c r="A49" s="20" t="str">
        <f t="shared" si="0"/>
        <v>BASELINE EMISSION INVENTORY</v>
      </c>
      <c r="B49" s="9" t="s">
        <v>16</v>
      </c>
      <c r="C49" s="9" t="s">
        <v>133</v>
      </c>
      <c r="D49" s="9" t="s">
        <v>644</v>
      </c>
      <c r="E49" s="9"/>
      <c r="F49" s="45" t="s">
        <v>535</v>
      </c>
      <c r="G49" s="9" t="s">
        <v>1011</v>
      </c>
      <c r="H49" s="9" t="s">
        <v>792</v>
      </c>
      <c r="I49" s="9" t="s">
        <v>844</v>
      </c>
      <c r="J49" s="233" t="s">
        <v>596</v>
      </c>
      <c r="K49" s="9"/>
      <c r="L49" s="9"/>
    </row>
    <row r="50" spans="1:12" s="10" customFormat="1" ht="12">
      <c r="A50" s="20" t="str">
        <f t="shared" si="0"/>
        <v>GENERAL DATA</v>
      </c>
      <c r="B50" s="9" t="s">
        <v>432</v>
      </c>
      <c r="C50" s="9" t="s">
        <v>433</v>
      </c>
      <c r="D50" s="9" t="s">
        <v>645</v>
      </c>
      <c r="E50" s="9"/>
      <c r="F50" s="45" t="s">
        <v>536</v>
      </c>
      <c r="G50" s="9" t="s">
        <v>1012</v>
      </c>
      <c r="H50" s="9" t="s">
        <v>793</v>
      </c>
      <c r="I50" s="9" t="s">
        <v>845</v>
      </c>
      <c r="J50" s="233" t="s">
        <v>597</v>
      </c>
      <c r="K50" s="9"/>
      <c r="L50" s="9"/>
    </row>
    <row r="51" spans="1:12" s="10" customFormat="1" ht="12">
      <c r="A51" s="20" t="str">
        <f t="shared" si="0"/>
        <v>Inventory year</v>
      </c>
      <c r="B51" s="9" t="s">
        <v>17</v>
      </c>
      <c r="C51" s="9" t="s">
        <v>131</v>
      </c>
      <c r="D51" s="9" t="s">
        <v>646</v>
      </c>
      <c r="E51" s="9"/>
      <c r="F51" s="45" t="s">
        <v>537</v>
      </c>
      <c r="G51" s="9" t="s">
        <v>1013</v>
      </c>
      <c r="H51" s="9" t="s">
        <v>794</v>
      </c>
      <c r="I51" s="9" t="s">
        <v>846</v>
      </c>
      <c r="J51" s="233" t="s">
        <v>598</v>
      </c>
      <c r="K51" s="9"/>
      <c r="L51" s="9"/>
    </row>
    <row r="52" spans="1:12" s="10" customFormat="1" ht="12">
      <c r="A52" s="20" t="str">
        <f t="shared" si="0"/>
        <v>Number of inhabitants</v>
      </c>
      <c r="B52" s="9" t="s">
        <v>434</v>
      </c>
      <c r="C52" s="9" t="s">
        <v>435</v>
      </c>
      <c r="D52" s="9" t="s">
        <v>435</v>
      </c>
      <c r="E52" s="9"/>
      <c r="F52" s="45" t="s">
        <v>538</v>
      </c>
      <c r="G52" s="9" t="s">
        <v>1014</v>
      </c>
      <c r="H52" s="9" t="s">
        <v>795</v>
      </c>
      <c r="I52" s="9" t="s">
        <v>847</v>
      </c>
      <c r="J52" s="233" t="s">
        <v>599</v>
      </c>
      <c r="K52" s="9"/>
      <c r="L52" s="9"/>
    </row>
    <row r="53" spans="1:12" s="10" customFormat="1" ht="12">
      <c r="A53" s="20" t="str">
        <f t="shared" si="0"/>
        <v>Mandatory fields</v>
      </c>
      <c r="B53" s="9" t="s">
        <v>1156</v>
      </c>
      <c r="C53" s="9" t="s">
        <v>1182</v>
      </c>
      <c r="D53" s="9" t="s">
        <v>647</v>
      </c>
      <c r="E53" s="9"/>
      <c r="F53" s="45" t="s">
        <v>1339</v>
      </c>
      <c r="G53" s="9" t="s">
        <v>1212</v>
      </c>
      <c r="H53" s="9" t="s">
        <v>1238</v>
      </c>
      <c r="I53" s="9" t="s">
        <v>848</v>
      </c>
      <c r="J53" s="9" t="s">
        <v>1289</v>
      </c>
      <c r="K53" s="9"/>
      <c r="L53" s="9"/>
    </row>
    <row r="54" spans="1:12" s="10" customFormat="1" ht="12">
      <c r="A54" s="193" t="str">
        <f t="shared" si="0"/>
        <v>RESULTS OF ENERGY BALANCE</v>
      </c>
      <c r="B54" s="9" t="s">
        <v>449</v>
      </c>
      <c r="C54" s="9" t="s">
        <v>438</v>
      </c>
      <c r="D54" s="9" t="s">
        <v>648</v>
      </c>
      <c r="E54" s="9"/>
      <c r="F54" s="45" t="s">
        <v>539</v>
      </c>
      <c r="G54" s="9" t="s">
        <v>979</v>
      </c>
      <c r="H54" s="9" t="s">
        <v>796</v>
      </c>
      <c r="I54" s="9" t="s">
        <v>849</v>
      </c>
      <c r="J54" s="233" t="s">
        <v>600</v>
      </c>
      <c r="K54" s="9"/>
      <c r="L54" s="9"/>
    </row>
    <row r="55" spans="1:12" s="11" customFormat="1" ht="12">
      <c r="A55" s="193" t="str">
        <f t="shared" si="0"/>
        <v>FINAL ENERGY DEMAND</v>
      </c>
      <c r="B55" s="9" t="s">
        <v>362</v>
      </c>
      <c r="C55" s="9" t="s">
        <v>361</v>
      </c>
      <c r="D55" s="9" t="s">
        <v>649</v>
      </c>
      <c r="E55" s="9"/>
      <c r="F55" s="45" t="s">
        <v>360</v>
      </c>
      <c r="G55" s="9" t="s">
        <v>359</v>
      </c>
      <c r="H55" s="9" t="s">
        <v>358</v>
      </c>
      <c r="I55" s="9" t="s">
        <v>850</v>
      </c>
      <c r="J55" s="9" t="s">
        <v>357</v>
      </c>
      <c r="K55" s="9"/>
      <c r="L55" s="9"/>
    </row>
    <row r="56" spans="1:12" s="11" customFormat="1" ht="12">
      <c r="A56" s="193" t="str">
        <f t="shared" si="0"/>
        <v>DEMAND SECTOR</v>
      </c>
      <c r="B56" s="9" t="s">
        <v>27</v>
      </c>
      <c r="C56" s="9" t="s">
        <v>28</v>
      </c>
      <c r="D56" s="9" t="s">
        <v>650</v>
      </c>
      <c r="E56" s="9"/>
      <c r="F56" s="45" t="s">
        <v>29</v>
      </c>
      <c r="G56" s="9" t="s">
        <v>30</v>
      </c>
      <c r="H56" s="9" t="s">
        <v>31</v>
      </c>
      <c r="I56" s="9" t="s">
        <v>851</v>
      </c>
      <c r="J56" s="9" t="s">
        <v>32</v>
      </c>
      <c r="K56" s="9"/>
      <c r="L56" s="9"/>
    </row>
    <row r="57" spans="1:12" s="11" customFormat="1" ht="12">
      <c r="A57" s="193" t="str">
        <f t="shared" si="0"/>
        <v>DESCRIPTION OF ACTIONS TO IMPLEMENT</v>
      </c>
      <c r="B57" s="9" t="s">
        <v>356</v>
      </c>
      <c r="C57" s="9" t="s">
        <v>355</v>
      </c>
      <c r="D57" s="9" t="s">
        <v>651</v>
      </c>
      <c r="E57" s="9"/>
      <c r="F57" s="45" t="s">
        <v>354</v>
      </c>
      <c r="G57" s="9" t="s">
        <v>353</v>
      </c>
      <c r="H57" s="9" t="s">
        <v>352</v>
      </c>
      <c r="I57" s="9" t="s">
        <v>852</v>
      </c>
      <c r="J57" s="9" t="s">
        <v>351</v>
      </c>
      <c r="K57" s="9"/>
      <c r="L57" s="9"/>
    </row>
    <row r="58" spans="1:12" s="11" customFormat="1" ht="12">
      <c r="A58" s="193" t="str">
        <f t="shared" si="0"/>
        <v>Sector description</v>
      </c>
      <c r="B58" s="9" t="s">
        <v>117</v>
      </c>
      <c r="C58" s="12" t="s">
        <v>118</v>
      </c>
      <c r="D58" s="9" t="s">
        <v>652</v>
      </c>
      <c r="E58" s="9"/>
      <c r="F58" s="45" t="s">
        <v>119</v>
      </c>
      <c r="G58" s="9" t="s">
        <v>120</v>
      </c>
      <c r="H58" s="9" t="s">
        <v>121</v>
      </c>
      <c r="I58" s="9" t="s">
        <v>853</v>
      </c>
      <c r="J58" s="9" t="s">
        <v>122</v>
      </c>
      <c r="K58" s="9"/>
      <c r="L58" s="9"/>
    </row>
    <row r="59" spans="1:12" s="10" customFormat="1" ht="12">
      <c r="A59" s="193" t="str">
        <f t="shared" si="0"/>
        <v>RESIDENTIAL</v>
      </c>
      <c r="B59" s="194" t="s">
        <v>468</v>
      </c>
      <c r="C59" s="195" t="s">
        <v>469</v>
      </c>
      <c r="D59" s="194" t="s">
        <v>469</v>
      </c>
      <c r="E59" s="194"/>
      <c r="F59" s="194" t="s">
        <v>470</v>
      </c>
      <c r="G59" s="194" t="s">
        <v>471</v>
      </c>
      <c r="H59" s="194" t="s">
        <v>472</v>
      </c>
      <c r="I59" s="194" t="s">
        <v>854</v>
      </c>
      <c r="J59" s="194" t="s">
        <v>473</v>
      </c>
      <c r="K59" s="194"/>
      <c r="L59" s="194"/>
    </row>
    <row r="60" spans="1:12" s="10" customFormat="1" ht="12">
      <c r="A60" s="193" t="str">
        <f t="shared" si="0"/>
        <v>Domestic uses</v>
      </c>
      <c r="B60" s="234" t="s">
        <v>1065</v>
      </c>
      <c r="C60" s="234" t="s">
        <v>1115</v>
      </c>
      <c r="D60" s="234" t="s">
        <v>653</v>
      </c>
      <c r="E60" s="234"/>
      <c r="F60" s="234" t="s">
        <v>1373</v>
      </c>
      <c r="G60" s="234" t="s">
        <v>1217</v>
      </c>
      <c r="H60" s="234" t="s">
        <v>1252</v>
      </c>
      <c r="I60" s="234" t="s">
        <v>855</v>
      </c>
      <c r="J60" s="234" t="s">
        <v>1087</v>
      </c>
      <c r="K60" s="9"/>
      <c r="L60" s="9"/>
    </row>
    <row r="61" spans="1:12" s="10" customFormat="1" ht="12">
      <c r="A61" s="193">
        <f t="shared" si="0"/>
      </c>
      <c r="B61" s="12"/>
      <c r="C61" s="12"/>
      <c r="D61" s="9"/>
      <c r="E61" s="9"/>
      <c r="F61" s="45"/>
      <c r="G61" s="12"/>
      <c r="H61" s="9"/>
      <c r="I61" s="9"/>
      <c r="J61" s="9"/>
      <c r="K61" s="9"/>
      <c r="L61" s="9"/>
    </row>
    <row r="62" spans="1:12" s="10" customFormat="1" ht="12">
      <c r="A62" s="193">
        <f t="shared" si="0"/>
      </c>
      <c r="B62" s="12"/>
      <c r="C62" s="12"/>
      <c r="D62" s="9"/>
      <c r="E62" s="9"/>
      <c r="F62" s="45"/>
      <c r="G62" s="12"/>
      <c r="H62" s="9"/>
      <c r="I62" s="9"/>
      <c r="J62" s="9"/>
      <c r="K62" s="9"/>
      <c r="L62" s="9"/>
    </row>
    <row r="63" spans="1:12" s="10" customFormat="1" ht="12">
      <c r="A63" s="193">
        <f t="shared" si="0"/>
      </c>
      <c r="B63" s="12"/>
      <c r="C63" s="12"/>
      <c r="D63" s="9"/>
      <c r="E63" s="9"/>
      <c r="F63" s="45"/>
      <c r="G63" s="12"/>
      <c r="H63" s="9"/>
      <c r="I63" s="9"/>
      <c r="J63" s="9"/>
      <c r="K63" s="9"/>
      <c r="L63" s="9"/>
    </row>
    <row r="64" spans="1:12" s="10" customFormat="1" ht="12">
      <c r="A64" s="193">
        <f t="shared" si="0"/>
      </c>
      <c r="B64" s="12"/>
      <c r="C64" s="12"/>
      <c r="D64" s="9"/>
      <c r="E64" s="9"/>
      <c r="F64" s="45"/>
      <c r="G64" s="12"/>
      <c r="H64" s="9"/>
      <c r="I64" s="9"/>
      <c r="J64" s="9"/>
      <c r="K64" s="9"/>
      <c r="L64" s="9"/>
    </row>
    <row r="65" spans="1:12" s="10" customFormat="1" ht="12">
      <c r="A65" s="193">
        <f t="shared" si="0"/>
      </c>
      <c r="B65" s="12"/>
      <c r="C65" s="12"/>
      <c r="D65" s="9"/>
      <c r="E65" s="9"/>
      <c r="F65" s="45"/>
      <c r="G65" s="12"/>
      <c r="H65" s="9"/>
      <c r="I65" s="9"/>
      <c r="J65" s="9"/>
      <c r="K65" s="9"/>
      <c r="L65" s="9"/>
    </row>
    <row r="66" spans="1:12" s="10" customFormat="1" ht="12">
      <c r="A66" s="193">
        <f t="shared" si="0"/>
      </c>
      <c r="B66" s="12"/>
      <c r="C66" s="12"/>
      <c r="D66" s="9"/>
      <c r="E66" s="9"/>
      <c r="F66" s="45"/>
      <c r="G66" s="12"/>
      <c r="H66" s="9"/>
      <c r="I66" s="9"/>
      <c r="J66" s="9"/>
      <c r="K66" s="9"/>
      <c r="L66" s="9"/>
    </row>
    <row r="67" spans="1:12" s="10" customFormat="1" ht="12">
      <c r="A67" s="193">
        <f t="shared" si="0"/>
      </c>
      <c r="B67" s="12"/>
      <c r="C67" s="12"/>
      <c r="D67" s="9"/>
      <c r="E67" s="9"/>
      <c r="F67" s="45"/>
      <c r="G67" s="12"/>
      <c r="H67" s="9"/>
      <c r="I67" s="9"/>
      <c r="J67" s="9"/>
      <c r="K67" s="9"/>
      <c r="L67" s="9"/>
    </row>
    <row r="68" spans="1:12" s="10" customFormat="1" ht="12">
      <c r="A68" s="193">
        <f t="shared" si="0"/>
      </c>
      <c r="B68" s="12"/>
      <c r="C68" s="12"/>
      <c r="D68" s="9"/>
      <c r="E68" s="9"/>
      <c r="F68" s="45"/>
      <c r="G68" s="12"/>
      <c r="H68" s="9"/>
      <c r="I68" s="9"/>
      <c r="J68" s="9"/>
      <c r="K68" s="9"/>
      <c r="L68" s="9"/>
    </row>
    <row r="69" spans="1:12" s="10" customFormat="1" ht="12">
      <c r="A69" s="193" t="str">
        <f t="shared" si="0"/>
        <v>PRIMARY SECTOR</v>
      </c>
      <c r="B69" s="194" t="s">
        <v>474</v>
      </c>
      <c r="C69" s="195" t="s">
        <v>475</v>
      </c>
      <c r="D69" s="194" t="s">
        <v>654</v>
      </c>
      <c r="E69" s="194"/>
      <c r="F69" s="194" t="s">
        <v>476</v>
      </c>
      <c r="G69" s="194" t="s">
        <v>477</v>
      </c>
      <c r="H69" s="194" t="s">
        <v>478</v>
      </c>
      <c r="I69" s="194" t="s">
        <v>856</v>
      </c>
      <c r="J69" s="194" t="s">
        <v>479</v>
      </c>
      <c r="K69" s="9"/>
      <c r="L69" s="9"/>
    </row>
    <row r="70" spans="1:12" s="10" customFormat="1" ht="24">
      <c r="A70" s="193" t="str">
        <f t="shared" si="0"/>
        <v>Agriculture, forestry and fishing</v>
      </c>
      <c r="B70" s="9" t="s">
        <v>1116</v>
      </c>
      <c r="C70" s="12" t="s">
        <v>1117</v>
      </c>
      <c r="D70" s="9" t="s">
        <v>655</v>
      </c>
      <c r="E70" s="9"/>
      <c r="F70" s="45" t="s">
        <v>1374</v>
      </c>
      <c r="G70" s="9" t="s">
        <v>1429</v>
      </c>
      <c r="H70" s="9" t="s">
        <v>1253</v>
      </c>
      <c r="I70" s="9" t="s">
        <v>857</v>
      </c>
      <c r="J70" s="9" t="s">
        <v>1303</v>
      </c>
      <c r="K70" s="9"/>
      <c r="L70" s="9"/>
    </row>
    <row r="71" spans="1:12" s="10" customFormat="1" ht="12">
      <c r="A71" s="193" t="str">
        <f t="shared" si="0"/>
        <v>Mining and quarrying</v>
      </c>
      <c r="B71" s="9" t="s">
        <v>1118</v>
      </c>
      <c r="C71" s="12" t="s">
        <v>1119</v>
      </c>
      <c r="D71" s="9" t="s">
        <v>656</v>
      </c>
      <c r="E71" s="9"/>
      <c r="F71" s="45" t="s">
        <v>1375</v>
      </c>
      <c r="G71" s="9" t="s">
        <v>1430</v>
      </c>
      <c r="H71" s="9" t="s">
        <v>1254</v>
      </c>
      <c r="I71" s="9" t="s">
        <v>858</v>
      </c>
      <c r="J71" s="9" t="s">
        <v>1304</v>
      </c>
      <c r="K71" s="9"/>
      <c r="L71" s="9"/>
    </row>
    <row r="72" spans="1:12" s="10" customFormat="1" ht="12">
      <c r="A72" s="193" t="str">
        <f t="shared" si="0"/>
        <v>SECONDARY SECTOR</v>
      </c>
      <c r="B72" s="194" t="s">
        <v>480</v>
      </c>
      <c r="C72" s="195" t="s">
        <v>481</v>
      </c>
      <c r="D72" s="194" t="s">
        <v>657</v>
      </c>
      <c r="E72" s="194"/>
      <c r="F72" s="194" t="s">
        <v>482</v>
      </c>
      <c r="G72" s="194" t="s">
        <v>483</v>
      </c>
      <c r="H72" s="194" t="s">
        <v>484</v>
      </c>
      <c r="I72" s="194" t="s">
        <v>859</v>
      </c>
      <c r="J72" s="194" t="s">
        <v>485</v>
      </c>
      <c r="K72" s="9"/>
      <c r="L72" s="9"/>
    </row>
    <row r="73" spans="1:12" s="10" customFormat="1" ht="12">
      <c r="A73" s="193" t="str">
        <f aca="true" t="shared" si="1" ref="A73:A135">IF($A$6=$B$6,B73,"")&amp;IF($A$6=$C$6,C73,"")&amp;IF($A$6=$D$6,D73,"")&amp;IF($A$6=$E$6,E73,"")&amp;IF($A$6=$F$6,F73,"")&amp;IF($A$6=$G$6,G73,"")&amp;IF($A$6=$H$6,H73,"")&amp;IF($A$6=$I$6,I73,"")&amp;IF($A$6=$J$6,J73,"")&amp;IF($A$6=$K$6,K73,"")&amp;IF($A$6=$L$6,L73,"")</f>
        <v>Manufacturing</v>
      </c>
      <c r="B73" s="9" t="s">
        <v>1120</v>
      </c>
      <c r="C73" s="12" t="s">
        <v>1121</v>
      </c>
      <c r="D73" s="9" t="s">
        <v>658</v>
      </c>
      <c r="E73" s="9"/>
      <c r="F73" s="45" t="s">
        <v>1376</v>
      </c>
      <c r="G73" s="9" t="s">
        <v>1218</v>
      </c>
      <c r="H73" s="9" t="s">
        <v>350</v>
      </c>
      <c r="I73" s="9" t="s">
        <v>860</v>
      </c>
      <c r="J73" s="9" t="s">
        <v>349</v>
      </c>
      <c r="K73" s="9"/>
      <c r="L73" s="9"/>
    </row>
    <row r="74" spans="1:12" s="10" customFormat="1" ht="36">
      <c r="A74" s="193" t="str">
        <f t="shared" si="1"/>
        <v>Water supply, sewerage, waste management and remediation activities</v>
      </c>
      <c r="B74" s="9" t="s">
        <v>1122</v>
      </c>
      <c r="C74" s="12" t="s">
        <v>348</v>
      </c>
      <c r="D74" s="9" t="s">
        <v>659</v>
      </c>
      <c r="E74" s="9"/>
      <c r="F74" s="45" t="s">
        <v>1377</v>
      </c>
      <c r="G74" s="9" t="s">
        <v>1431</v>
      </c>
      <c r="H74" s="9" t="s">
        <v>347</v>
      </c>
      <c r="I74" s="9" t="s">
        <v>861</v>
      </c>
      <c r="J74" s="9" t="s">
        <v>346</v>
      </c>
      <c r="K74" s="9"/>
      <c r="L74" s="9"/>
    </row>
    <row r="75" spans="1:12" s="10" customFormat="1" ht="12">
      <c r="A75" s="193" t="str">
        <f t="shared" si="1"/>
        <v>Construction</v>
      </c>
      <c r="B75" s="9" t="s">
        <v>1123</v>
      </c>
      <c r="C75" s="12" t="s">
        <v>1124</v>
      </c>
      <c r="D75" s="9" t="s">
        <v>660</v>
      </c>
      <c r="E75" s="9"/>
      <c r="F75" s="45" t="s">
        <v>1378</v>
      </c>
      <c r="G75" s="9" t="s">
        <v>1432</v>
      </c>
      <c r="H75" s="9" t="s">
        <v>1255</v>
      </c>
      <c r="I75" s="9" t="s">
        <v>862</v>
      </c>
      <c r="J75" s="9" t="s">
        <v>1305</v>
      </c>
      <c r="K75" s="9"/>
      <c r="L75" s="9"/>
    </row>
    <row r="76" spans="1:12" s="10" customFormat="1" ht="12">
      <c r="A76" s="193" t="str">
        <f t="shared" si="1"/>
        <v>TERTIARY SECTOR</v>
      </c>
      <c r="B76" s="194" t="s">
        <v>486</v>
      </c>
      <c r="C76" s="195" t="s">
        <v>487</v>
      </c>
      <c r="D76" s="194" t="s">
        <v>661</v>
      </c>
      <c r="E76" s="194"/>
      <c r="F76" s="194" t="s">
        <v>488</v>
      </c>
      <c r="G76" s="194" t="s">
        <v>489</v>
      </c>
      <c r="H76" s="194" t="s">
        <v>490</v>
      </c>
      <c r="I76" s="194" t="s">
        <v>863</v>
      </c>
      <c r="J76" s="194" t="s">
        <v>491</v>
      </c>
      <c r="K76" s="9"/>
      <c r="L76" s="9"/>
    </row>
    <row r="77" spans="1:12" s="10" customFormat="1" ht="24">
      <c r="A77" s="193" t="str">
        <f t="shared" si="1"/>
        <v>Trade, service and tourism</v>
      </c>
      <c r="B77" s="234" t="s">
        <v>1349</v>
      </c>
      <c r="C77" s="234" t="s">
        <v>1125</v>
      </c>
      <c r="D77" s="234"/>
      <c r="E77" s="234"/>
      <c r="F77" s="234" t="s">
        <v>1379</v>
      </c>
      <c r="G77" s="234"/>
      <c r="H77" s="234"/>
      <c r="I77" s="234"/>
      <c r="J77" s="234" t="s">
        <v>1068</v>
      </c>
      <c r="K77" s="9"/>
      <c r="L77" s="9"/>
    </row>
    <row r="78" spans="1:12" s="10" customFormat="1" ht="24">
      <c r="A78" s="193" t="str">
        <f t="shared" si="1"/>
        <v>Public administration, schools and kindergardens</v>
      </c>
      <c r="B78" s="234" t="s">
        <v>1350</v>
      </c>
      <c r="C78" s="234" t="s">
        <v>1126</v>
      </c>
      <c r="D78" s="234"/>
      <c r="E78" s="234"/>
      <c r="F78" s="234" t="s">
        <v>1380</v>
      </c>
      <c r="G78" s="234"/>
      <c r="H78" s="234"/>
      <c r="I78" s="234"/>
      <c r="J78" s="234" t="s">
        <v>1069</v>
      </c>
      <c r="K78" s="9"/>
      <c r="L78" s="9"/>
    </row>
    <row r="79" spans="1:12" s="10" customFormat="1" ht="12">
      <c r="A79" s="193" t="str">
        <f t="shared" si="1"/>
        <v>Other services</v>
      </c>
      <c r="B79" s="234" t="s">
        <v>1128</v>
      </c>
      <c r="C79" s="234" t="s">
        <v>1127</v>
      </c>
      <c r="D79" s="234"/>
      <c r="E79" s="234"/>
      <c r="F79" s="234" t="s">
        <v>1381</v>
      </c>
      <c r="G79" s="234"/>
      <c r="H79" s="234"/>
      <c r="I79" s="234"/>
      <c r="J79" s="234" t="s">
        <v>1070</v>
      </c>
      <c r="K79" s="9"/>
      <c r="L79" s="9"/>
    </row>
    <row r="80" spans="1:12" s="10" customFormat="1" ht="12">
      <c r="A80" s="193">
        <f t="shared" si="1"/>
      </c>
      <c r="B80" s="9"/>
      <c r="C80" s="12"/>
      <c r="D80" s="9"/>
      <c r="E80" s="9"/>
      <c r="F80" s="45"/>
      <c r="G80" s="9"/>
      <c r="H80" s="9"/>
      <c r="I80" s="9"/>
      <c r="J80" s="9"/>
      <c r="K80" s="9"/>
      <c r="L80" s="9"/>
    </row>
    <row r="81" spans="1:12" s="10" customFormat="1" ht="12">
      <c r="A81" s="193">
        <f t="shared" si="1"/>
      </c>
      <c r="B81" s="9"/>
      <c r="C81" s="12"/>
      <c r="D81" s="9"/>
      <c r="E81" s="9"/>
      <c r="F81" s="45"/>
      <c r="G81" s="9"/>
      <c r="H81" s="9"/>
      <c r="I81" s="9"/>
      <c r="J81" s="9"/>
      <c r="K81" s="9"/>
      <c r="L81" s="9"/>
    </row>
    <row r="82" spans="1:12" s="11" customFormat="1" ht="12">
      <c r="A82" s="193">
        <f t="shared" si="1"/>
      </c>
      <c r="B82" s="9"/>
      <c r="C82" s="12"/>
      <c r="D82" s="9"/>
      <c r="E82" s="9"/>
      <c r="F82" s="45"/>
      <c r="G82" s="9"/>
      <c r="H82" s="9"/>
      <c r="I82" s="9"/>
      <c r="J82" s="9"/>
      <c r="K82" s="9"/>
      <c r="L82" s="9"/>
    </row>
    <row r="83" spans="1:12" s="10" customFormat="1" ht="12">
      <c r="A83" s="193">
        <f t="shared" si="1"/>
      </c>
      <c r="B83" s="9"/>
      <c r="C83" s="12"/>
      <c r="D83" s="9"/>
      <c r="E83" s="9"/>
      <c r="F83" s="45"/>
      <c r="G83" s="9"/>
      <c r="H83" s="9"/>
      <c r="I83" s="9"/>
      <c r="J83" s="9"/>
      <c r="K83" s="9"/>
      <c r="L83" s="9"/>
    </row>
    <row r="84" spans="1:12" s="10" customFormat="1" ht="12">
      <c r="A84" s="193">
        <f t="shared" si="1"/>
      </c>
      <c r="B84" s="9"/>
      <c r="C84" s="12"/>
      <c r="D84" s="9"/>
      <c r="E84" s="9"/>
      <c r="F84" s="45"/>
      <c r="G84" s="9"/>
      <c r="H84" s="9"/>
      <c r="I84" s="9"/>
      <c r="J84" s="9"/>
      <c r="K84" s="9"/>
      <c r="L84" s="9"/>
    </row>
    <row r="85" spans="1:12" s="10" customFormat="1" ht="12">
      <c r="A85" s="193" t="str">
        <f t="shared" si="1"/>
        <v>TRANSPORTS</v>
      </c>
      <c r="B85" s="194" t="s">
        <v>492</v>
      </c>
      <c r="C85" s="195" t="s">
        <v>493</v>
      </c>
      <c r="D85" s="194" t="s">
        <v>493</v>
      </c>
      <c r="E85" s="194"/>
      <c r="F85" s="194" t="s">
        <v>494</v>
      </c>
      <c r="G85" s="194" t="s">
        <v>495</v>
      </c>
      <c r="H85" s="194" t="s">
        <v>496</v>
      </c>
      <c r="I85" s="194" t="s">
        <v>864</v>
      </c>
      <c r="J85" s="194" t="s">
        <v>496</v>
      </c>
      <c r="K85" s="9"/>
      <c r="L85" s="9"/>
    </row>
    <row r="86" spans="1:12" s="10" customFormat="1" ht="36">
      <c r="A86" s="20" t="str">
        <f t="shared" si="1"/>
        <v>Passenger road transport (public transports, taxi, tourism, school buses, etc.)</v>
      </c>
      <c r="B86" s="9" t="s">
        <v>1061</v>
      </c>
      <c r="C86" s="12" t="s">
        <v>1062</v>
      </c>
      <c r="D86" s="9" t="s">
        <v>662</v>
      </c>
      <c r="E86" s="9"/>
      <c r="F86" s="9" t="s">
        <v>607</v>
      </c>
      <c r="G86" s="9" t="s">
        <v>1015</v>
      </c>
      <c r="H86" s="9" t="s">
        <v>797</v>
      </c>
      <c r="I86" s="9" t="s">
        <v>865</v>
      </c>
      <c r="J86" s="9" t="s">
        <v>605</v>
      </c>
      <c r="K86" s="9"/>
      <c r="L86" s="9"/>
    </row>
    <row r="87" spans="1:12" s="10" customFormat="1" ht="24">
      <c r="A87" s="20" t="str">
        <f t="shared" si="1"/>
        <v>Freight transport by road and removal services</v>
      </c>
      <c r="B87" s="9" t="s">
        <v>1129</v>
      </c>
      <c r="C87" s="12" t="s">
        <v>1130</v>
      </c>
      <c r="D87" s="9" t="s">
        <v>663</v>
      </c>
      <c r="E87" s="9"/>
      <c r="F87" s="45" t="s">
        <v>1382</v>
      </c>
      <c r="G87" s="9" t="s">
        <v>980</v>
      </c>
      <c r="H87" s="9" t="s">
        <v>1256</v>
      </c>
      <c r="I87" s="9" t="s">
        <v>866</v>
      </c>
      <c r="J87" s="9" t="s">
        <v>345</v>
      </c>
      <c r="K87" s="9"/>
      <c r="L87" s="9"/>
    </row>
    <row r="88" spans="1:12" s="10" customFormat="1" ht="24">
      <c r="A88" s="20" t="str">
        <f t="shared" si="1"/>
        <v>Other fleet for public and private services, and private transports</v>
      </c>
      <c r="B88" s="234" t="s">
        <v>552</v>
      </c>
      <c r="C88" s="234" t="s">
        <v>548</v>
      </c>
      <c r="D88" s="234" t="s">
        <v>664</v>
      </c>
      <c r="E88" s="234"/>
      <c r="F88" s="234" t="s">
        <v>608</v>
      </c>
      <c r="G88" s="234" t="s">
        <v>1016</v>
      </c>
      <c r="H88" s="234" t="s">
        <v>553</v>
      </c>
      <c r="I88" s="234" t="s">
        <v>866</v>
      </c>
      <c r="J88" s="234" t="s">
        <v>554</v>
      </c>
      <c r="K88" s="9"/>
      <c r="L88" s="9"/>
    </row>
    <row r="89" spans="1:12" s="10" customFormat="1" ht="12">
      <c r="A89" s="20">
        <f>IF($A$6=$B$6,B89,"")&amp;IF($A$6=$C$6,C89,"")&amp;IF($A$6=$D$6,D89,"")&amp;IF($A$6=$E$6,E89,"")&amp;IF($A$6=$F$6,F89,"")&amp;IF($A$6=$G$6,G89,"")&amp;IF($A$6=$H$6,H89,"")&amp;IF($A$6=$I$6,I89,"")&amp;IF($A$6=$J$6,J89,"")&amp;IF($A$6=$K$6,K89,"")&amp;IF($A$6=$L$6,L89,"")</f>
      </c>
      <c r="B89" s="9"/>
      <c r="C89" s="12" t="s">
        <v>549</v>
      </c>
      <c r="D89" s="9" t="s">
        <v>665</v>
      </c>
      <c r="E89" s="9"/>
      <c r="F89" s="45" t="s">
        <v>609</v>
      </c>
      <c r="G89" s="9" t="s">
        <v>1219</v>
      </c>
      <c r="H89" s="9" t="s">
        <v>1257</v>
      </c>
      <c r="I89" s="9" t="s">
        <v>867</v>
      </c>
      <c r="J89" s="9"/>
      <c r="K89" s="9"/>
      <c r="L89" s="9"/>
    </row>
    <row r="90" spans="1:12" s="10" customFormat="1" ht="36">
      <c r="A90" s="193" t="str">
        <f t="shared" si="1"/>
        <v>Reexportation (ships, airplanes, industrial free zones, national and international militar installations, etc.)</v>
      </c>
      <c r="B90" s="9" t="s">
        <v>344</v>
      </c>
      <c r="C90" s="12" t="s">
        <v>343</v>
      </c>
      <c r="D90" s="9" t="s">
        <v>666</v>
      </c>
      <c r="E90" s="9"/>
      <c r="F90" s="45" t="s">
        <v>342</v>
      </c>
      <c r="G90" s="9" t="s">
        <v>1017</v>
      </c>
      <c r="H90" s="9" t="s">
        <v>341</v>
      </c>
      <c r="I90" s="9" t="s">
        <v>868</v>
      </c>
      <c r="J90" s="9" t="s">
        <v>340</v>
      </c>
      <c r="K90" s="9"/>
      <c r="L90" s="9"/>
    </row>
    <row r="91" spans="1:12" s="10" customFormat="1" ht="36">
      <c r="A91" s="193" t="str">
        <f t="shared" si="1"/>
        <v>Activities with intensive use of energy for exportation (to exclude in the island energy balance)</v>
      </c>
      <c r="B91" s="9" t="s">
        <v>339</v>
      </c>
      <c r="C91" s="12" t="s">
        <v>338</v>
      </c>
      <c r="D91" s="9" t="s">
        <v>667</v>
      </c>
      <c r="E91" s="9"/>
      <c r="F91" s="45" t="s">
        <v>337</v>
      </c>
      <c r="G91" s="9" t="s">
        <v>1018</v>
      </c>
      <c r="H91" s="9" t="s">
        <v>336</v>
      </c>
      <c r="I91" s="9" t="s">
        <v>869</v>
      </c>
      <c r="J91" s="9" t="s">
        <v>335</v>
      </c>
      <c r="K91" s="9"/>
      <c r="L91" s="9"/>
    </row>
    <row r="92" spans="1:12" s="10" customFormat="1" ht="24">
      <c r="A92" s="193" t="str">
        <f t="shared" si="1"/>
        <v>Other (to exclude in the island energy balance)</v>
      </c>
      <c r="B92" s="9" t="s">
        <v>334</v>
      </c>
      <c r="C92" s="12" t="s">
        <v>333</v>
      </c>
      <c r="D92" s="9" t="s">
        <v>668</v>
      </c>
      <c r="E92" s="9"/>
      <c r="F92" s="45" t="s">
        <v>332</v>
      </c>
      <c r="G92" s="9" t="s">
        <v>1019</v>
      </c>
      <c r="H92" s="9" t="s">
        <v>331</v>
      </c>
      <c r="I92" s="9" t="s">
        <v>870</v>
      </c>
      <c r="J92" s="9" t="s">
        <v>330</v>
      </c>
      <c r="K92" s="9"/>
      <c r="L92" s="9"/>
    </row>
    <row r="93" spans="1:12" s="10" customFormat="1" ht="12">
      <c r="A93" s="193" t="str">
        <f t="shared" si="1"/>
        <v>ENERGY FOR FINAL USE</v>
      </c>
      <c r="B93" s="9" t="s">
        <v>37</v>
      </c>
      <c r="C93" s="12" t="s">
        <v>38</v>
      </c>
      <c r="D93" s="9" t="s">
        <v>669</v>
      </c>
      <c r="E93" s="9"/>
      <c r="F93" s="45" t="s">
        <v>39</v>
      </c>
      <c r="G93" s="9" t="s">
        <v>40</v>
      </c>
      <c r="H93" s="9" t="s">
        <v>41</v>
      </c>
      <c r="I93" s="9" t="s">
        <v>871</v>
      </c>
      <c r="J93" s="9" t="s">
        <v>42</v>
      </c>
      <c r="K93" s="9"/>
      <c r="L93" s="9"/>
    </row>
    <row r="94" spans="1:12" s="10" customFormat="1" ht="12">
      <c r="A94" s="193" t="str">
        <f t="shared" si="1"/>
        <v>Centralized energy services</v>
      </c>
      <c r="B94" s="9" t="s">
        <v>43</v>
      </c>
      <c r="C94" s="12" t="s">
        <v>44</v>
      </c>
      <c r="D94" s="9" t="s">
        <v>670</v>
      </c>
      <c r="E94" s="9"/>
      <c r="F94" s="45" t="s">
        <v>45</v>
      </c>
      <c r="G94" s="9" t="s">
        <v>1020</v>
      </c>
      <c r="H94" s="9" t="s">
        <v>46</v>
      </c>
      <c r="I94" s="9" t="s">
        <v>872</v>
      </c>
      <c r="J94" s="9" t="s">
        <v>47</v>
      </c>
      <c r="K94" s="9"/>
      <c r="L94" s="9"/>
    </row>
    <row r="95" spans="1:12" s="10" customFormat="1" ht="12">
      <c r="A95" s="193" t="str">
        <f t="shared" si="1"/>
        <v>Electricity from public grid</v>
      </c>
      <c r="B95" s="9" t="s">
        <v>48</v>
      </c>
      <c r="C95" s="12" t="s">
        <v>49</v>
      </c>
      <c r="D95" s="9" t="s">
        <v>671</v>
      </c>
      <c r="E95" s="9"/>
      <c r="F95" s="45" t="s">
        <v>50</v>
      </c>
      <c r="G95" s="9" t="s">
        <v>1021</v>
      </c>
      <c r="H95" s="9" t="s">
        <v>51</v>
      </c>
      <c r="I95" s="9" t="s">
        <v>873</v>
      </c>
      <c r="J95" s="9" t="s">
        <v>52</v>
      </c>
      <c r="K95" s="9"/>
      <c r="L95" s="9"/>
    </row>
    <row r="96" spans="1:12" s="10" customFormat="1" ht="12">
      <c r="A96" s="193" t="str">
        <f t="shared" si="1"/>
        <v>Heat from district heating</v>
      </c>
      <c r="B96" s="9" t="s">
        <v>53</v>
      </c>
      <c r="C96" s="12" t="s">
        <v>54</v>
      </c>
      <c r="D96" s="9" t="s">
        <v>672</v>
      </c>
      <c r="E96" s="9"/>
      <c r="F96" s="45" t="s">
        <v>55</v>
      </c>
      <c r="G96" s="9" t="s">
        <v>56</v>
      </c>
      <c r="H96" s="9" t="s">
        <v>57</v>
      </c>
      <c r="I96" s="9" t="s">
        <v>874</v>
      </c>
      <c r="J96" s="9" t="s">
        <v>58</v>
      </c>
      <c r="K96" s="9"/>
      <c r="L96" s="9"/>
    </row>
    <row r="97" spans="1:12" s="10" customFormat="1" ht="12">
      <c r="A97" s="20" t="str">
        <f t="shared" si="1"/>
        <v>Cold from district cooling</v>
      </c>
      <c r="B97" s="9" t="s">
        <v>59</v>
      </c>
      <c r="C97" s="12" t="s">
        <v>60</v>
      </c>
      <c r="D97" s="9" t="s">
        <v>673</v>
      </c>
      <c r="E97" s="9"/>
      <c r="F97" s="45" t="s">
        <v>61</v>
      </c>
      <c r="G97" s="9" t="s">
        <v>62</v>
      </c>
      <c r="H97" s="9" t="s">
        <v>63</v>
      </c>
      <c r="I97" s="9" t="s">
        <v>875</v>
      </c>
      <c r="J97" s="9" t="s">
        <v>64</v>
      </c>
      <c r="K97" s="9"/>
      <c r="L97" s="9"/>
    </row>
    <row r="98" spans="1:12" s="10" customFormat="1" ht="12">
      <c r="A98" s="20" t="str">
        <f t="shared" si="1"/>
        <v>Fossil fuels</v>
      </c>
      <c r="B98" s="9" t="s">
        <v>19</v>
      </c>
      <c r="C98" s="12" t="s">
        <v>65</v>
      </c>
      <c r="D98" s="9" t="s">
        <v>674</v>
      </c>
      <c r="E98" s="9"/>
      <c r="F98" s="45" t="s">
        <v>66</v>
      </c>
      <c r="G98" s="9" t="s">
        <v>67</v>
      </c>
      <c r="H98" s="9" t="s">
        <v>68</v>
      </c>
      <c r="I98" s="9" t="s">
        <v>876</v>
      </c>
      <c r="J98" s="9" t="s">
        <v>69</v>
      </c>
      <c r="K98" s="9"/>
      <c r="L98" s="9"/>
    </row>
    <row r="99" spans="1:12" s="10" customFormat="1" ht="12">
      <c r="A99" s="20" t="str">
        <f t="shared" si="1"/>
        <v>Fueloil</v>
      </c>
      <c r="B99" s="9" t="s">
        <v>70</v>
      </c>
      <c r="C99" s="12" t="s">
        <v>71</v>
      </c>
      <c r="D99" s="9" t="s">
        <v>70</v>
      </c>
      <c r="E99" s="9"/>
      <c r="F99" s="45" t="s">
        <v>72</v>
      </c>
      <c r="G99" s="9" t="s">
        <v>73</v>
      </c>
      <c r="H99" s="9" t="s">
        <v>74</v>
      </c>
      <c r="I99" s="9" t="s">
        <v>877</v>
      </c>
      <c r="J99" s="9" t="s">
        <v>75</v>
      </c>
      <c r="K99" s="9"/>
      <c r="L99" s="9"/>
    </row>
    <row r="100" spans="1:12" s="10" customFormat="1" ht="12">
      <c r="A100" s="20" t="str">
        <f t="shared" si="1"/>
        <v>Diesel</v>
      </c>
      <c r="B100" s="9" t="s">
        <v>21</v>
      </c>
      <c r="C100" s="12" t="s">
        <v>76</v>
      </c>
      <c r="D100" s="9" t="s">
        <v>21</v>
      </c>
      <c r="E100" s="9"/>
      <c r="F100" s="45" t="s">
        <v>77</v>
      </c>
      <c r="G100" s="9" t="s">
        <v>21</v>
      </c>
      <c r="H100" s="9" t="s">
        <v>21</v>
      </c>
      <c r="I100" s="9" t="s">
        <v>21</v>
      </c>
      <c r="J100" s="9" t="s">
        <v>78</v>
      </c>
      <c r="K100" s="9"/>
      <c r="L100" s="9"/>
    </row>
    <row r="101" spans="1:12" s="10" customFormat="1" ht="12">
      <c r="A101" s="20" t="str">
        <f t="shared" si="1"/>
        <v>Gasoline</v>
      </c>
      <c r="B101" s="9" t="s">
        <v>22</v>
      </c>
      <c r="C101" s="12" t="s">
        <v>79</v>
      </c>
      <c r="D101" s="9" t="s">
        <v>79</v>
      </c>
      <c r="E101" s="9"/>
      <c r="F101" s="45" t="s">
        <v>80</v>
      </c>
      <c r="G101" s="9" t="s">
        <v>81</v>
      </c>
      <c r="H101" s="9" t="s">
        <v>82</v>
      </c>
      <c r="I101" s="9" t="s">
        <v>878</v>
      </c>
      <c r="J101" s="9" t="s">
        <v>83</v>
      </c>
      <c r="K101" s="9"/>
      <c r="L101" s="9"/>
    </row>
    <row r="102" spans="1:12" s="10" customFormat="1" ht="12">
      <c r="A102" s="20" t="str">
        <f t="shared" si="1"/>
        <v>LPG</v>
      </c>
      <c r="B102" s="9" t="s">
        <v>84</v>
      </c>
      <c r="C102" s="12" t="s">
        <v>85</v>
      </c>
      <c r="D102" s="9" t="s">
        <v>675</v>
      </c>
      <c r="E102" s="9"/>
      <c r="F102" s="45" t="s">
        <v>86</v>
      </c>
      <c r="G102" s="9" t="s">
        <v>84</v>
      </c>
      <c r="H102" s="9" t="s">
        <v>84</v>
      </c>
      <c r="I102" s="9" t="s">
        <v>85</v>
      </c>
      <c r="J102" s="9" t="s">
        <v>87</v>
      </c>
      <c r="K102" s="9"/>
      <c r="L102" s="9"/>
    </row>
    <row r="103" spans="1:12" s="10" customFormat="1" ht="12">
      <c r="A103" s="20" t="str">
        <f t="shared" si="1"/>
        <v>Natural gas</v>
      </c>
      <c r="B103" s="9" t="s">
        <v>20</v>
      </c>
      <c r="C103" s="12" t="s">
        <v>88</v>
      </c>
      <c r="D103" s="9" t="s">
        <v>676</v>
      </c>
      <c r="E103" s="9"/>
      <c r="F103" s="45" t="s">
        <v>89</v>
      </c>
      <c r="G103" s="9" t="s">
        <v>90</v>
      </c>
      <c r="H103" s="9" t="s">
        <v>90</v>
      </c>
      <c r="I103" s="9" t="s">
        <v>879</v>
      </c>
      <c r="J103" s="9" t="s">
        <v>91</v>
      </c>
      <c r="K103" s="9"/>
      <c r="L103" s="9"/>
    </row>
    <row r="104" spans="1:12" s="10" customFormat="1" ht="12">
      <c r="A104" s="20" t="str">
        <f t="shared" si="1"/>
        <v>Coal</v>
      </c>
      <c r="B104" s="9" t="s">
        <v>23</v>
      </c>
      <c r="C104" s="12" t="s">
        <v>92</v>
      </c>
      <c r="D104" s="9" t="s">
        <v>677</v>
      </c>
      <c r="E104" s="9"/>
      <c r="F104" s="45" t="s">
        <v>93</v>
      </c>
      <c r="G104" s="9" t="s">
        <v>94</v>
      </c>
      <c r="H104" s="9" t="s">
        <v>95</v>
      </c>
      <c r="I104" s="9" t="s">
        <v>880</v>
      </c>
      <c r="J104" s="9" t="s">
        <v>96</v>
      </c>
      <c r="K104" s="9"/>
      <c r="L104" s="9"/>
    </row>
    <row r="105" spans="1:12" s="10" customFormat="1" ht="36">
      <c r="A105" s="20" t="str">
        <f t="shared" si="1"/>
        <v>Renewable energy sources (excluding electricity and heat sold to public networks)</v>
      </c>
      <c r="B105" s="12" t="s">
        <v>97</v>
      </c>
      <c r="C105" s="12" t="s">
        <v>98</v>
      </c>
      <c r="D105" s="9" t="s">
        <v>678</v>
      </c>
      <c r="E105" s="9"/>
      <c r="F105" s="45" t="s">
        <v>99</v>
      </c>
      <c r="G105" s="12" t="s">
        <v>1022</v>
      </c>
      <c r="H105" s="9" t="s">
        <v>100</v>
      </c>
      <c r="I105" s="9" t="s">
        <v>881</v>
      </c>
      <c r="J105" s="9" t="s">
        <v>101</v>
      </c>
      <c r="K105" s="9"/>
      <c r="L105" s="9"/>
    </row>
    <row r="106" spans="1:12" s="10" customFormat="1" ht="24">
      <c r="A106" s="20" t="str">
        <f t="shared" si="1"/>
        <v>Renewable energy sources (from systems connected to public networks)</v>
      </c>
      <c r="B106" s="12" t="s">
        <v>329</v>
      </c>
      <c r="C106" s="12" t="s">
        <v>328</v>
      </c>
      <c r="D106" s="9" t="s">
        <v>679</v>
      </c>
      <c r="E106" s="9"/>
      <c r="F106" s="45" t="s">
        <v>327</v>
      </c>
      <c r="G106" s="12" t="s">
        <v>1023</v>
      </c>
      <c r="H106" s="9" t="s">
        <v>326</v>
      </c>
      <c r="I106" s="9" t="s">
        <v>882</v>
      </c>
      <c r="J106" s="9" t="s">
        <v>325</v>
      </c>
      <c r="K106" s="9"/>
      <c r="L106" s="9"/>
    </row>
    <row r="107" spans="1:12" s="10" customFormat="1" ht="12">
      <c r="A107" s="20" t="str">
        <f t="shared" si="1"/>
        <v>Renewable energy sources</v>
      </c>
      <c r="B107" s="9" t="s">
        <v>324</v>
      </c>
      <c r="C107" s="12" t="s">
        <v>323</v>
      </c>
      <c r="D107" s="9" t="s">
        <v>680</v>
      </c>
      <c r="E107" s="9"/>
      <c r="F107" s="45" t="s">
        <v>322</v>
      </c>
      <c r="G107" s="9" t="s">
        <v>1024</v>
      </c>
      <c r="H107" s="9" t="s">
        <v>321</v>
      </c>
      <c r="I107" s="9" t="s">
        <v>883</v>
      </c>
      <c r="J107" s="9" t="s">
        <v>320</v>
      </c>
      <c r="K107" s="9"/>
      <c r="L107" s="9"/>
    </row>
    <row r="108" spans="1:12" s="10" customFormat="1" ht="12">
      <c r="A108" s="20" t="str">
        <f t="shared" si="1"/>
        <v>Hydro</v>
      </c>
      <c r="B108" s="9" t="s">
        <v>1131</v>
      </c>
      <c r="C108" s="9" t="s">
        <v>1132</v>
      </c>
      <c r="D108" s="9" t="s">
        <v>681</v>
      </c>
      <c r="E108" s="9"/>
      <c r="F108" s="45" t="s">
        <v>1387</v>
      </c>
      <c r="G108" s="9" t="s">
        <v>1221</v>
      </c>
      <c r="H108" s="9" t="s">
        <v>1131</v>
      </c>
      <c r="I108" s="9" t="s">
        <v>884</v>
      </c>
      <c r="J108" s="9" t="s">
        <v>102</v>
      </c>
      <c r="K108" s="9"/>
      <c r="L108" s="9"/>
    </row>
    <row r="109" spans="1:12" s="10" customFormat="1" ht="12">
      <c r="A109" s="20" t="str">
        <f t="shared" si="1"/>
        <v>Wind</v>
      </c>
      <c r="B109" s="9" t="s">
        <v>1133</v>
      </c>
      <c r="C109" s="9" t="s">
        <v>1134</v>
      </c>
      <c r="D109" s="9" t="s">
        <v>682</v>
      </c>
      <c r="E109" s="9"/>
      <c r="F109" s="45" t="s">
        <v>1388</v>
      </c>
      <c r="G109" s="9" t="s">
        <v>1222</v>
      </c>
      <c r="H109" s="9" t="s">
        <v>1262</v>
      </c>
      <c r="I109" s="9" t="s">
        <v>885</v>
      </c>
      <c r="J109" s="9" t="s">
        <v>1311</v>
      </c>
      <c r="K109" s="9"/>
      <c r="L109" s="9"/>
    </row>
    <row r="110" spans="1:12" s="10" customFormat="1" ht="12">
      <c r="A110" s="20" t="str">
        <f t="shared" si="1"/>
        <v>Solar</v>
      </c>
      <c r="B110" s="9" t="s">
        <v>1135</v>
      </c>
      <c r="C110" s="9" t="s">
        <v>1135</v>
      </c>
      <c r="D110" s="9" t="s">
        <v>1135</v>
      </c>
      <c r="E110" s="9"/>
      <c r="F110" s="45" t="s">
        <v>1389</v>
      </c>
      <c r="G110" s="9" t="s">
        <v>1223</v>
      </c>
      <c r="H110" s="9" t="s">
        <v>103</v>
      </c>
      <c r="I110" s="9" t="s">
        <v>886</v>
      </c>
      <c r="J110" s="9" t="s">
        <v>1312</v>
      </c>
      <c r="K110" s="9"/>
      <c r="L110" s="9"/>
    </row>
    <row r="111" spans="1:12" s="10" customFormat="1" ht="12">
      <c r="A111" s="20" t="str">
        <f t="shared" si="1"/>
        <v>Geothermal</v>
      </c>
      <c r="B111" s="9" t="s">
        <v>1136</v>
      </c>
      <c r="C111" s="9" t="s">
        <v>1137</v>
      </c>
      <c r="D111" s="9" t="s">
        <v>1137</v>
      </c>
      <c r="E111" s="9"/>
      <c r="F111" s="45" t="s">
        <v>1390</v>
      </c>
      <c r="G111" s="9" t="s">
        <v>1224</v>
      </c>
      <c r="H111" s="9" t="s">
        <v>1263</v>
      </c>
      <c r="I111" s="9" t="s">
        <v>887</v>
      </c>
      <c r="J111" s="9" t="s">
        <v>104</v>
      </c>
      <c r="K111" s="9"/>
      <c r="L111" s="9"/>
    </row>
    <row r="112" spans="1:12" s="10" customFormat="1" ht="12">
      <c r="A112" s="20" t="str">
        <f t="shared" si="1"/>
        <v>Ocean</v>
      </c>
      <c r="B112" s="9" t="s">
        <v>1138</v>
      </c>
      <c r="C112" s="9" t="s">
        <v>1139</v>
      </c>
      <c r="D112" s="9" t="s">
        <v>683</v>
      </c>
      <c r="E112" s="9"/>
      <c r="F112" s="45" t="s">
        <v>1391</v>
      </c>
      <c r="G112" s="9" t="s">
        <v>105</v>
      </c>
      <c r="H112" s="9" t="s">
        <v>106</v>
      </c>
      <c r="I112" s="9" t="s">
        <v>888</v>
      </c>
      <c r="J112" s="9" t="s">
        <v>107</v>
      </c>
      <c r="K112" s="9"/>
      <c r="L112" s="9"/>
    </row>
    <row r="113" spans="1:12" s="10" customFormat="1" ht="12">
      <c r="A113" s="20" t="str">
        <f t="shared" si="1"/>
        <v>Biomass</v>
      </c>
      <c r="B113" s="9" t="s">
        <v>1140</v>
      </c>
      <c r="C113" s="9" t="s">
        <v>1141</v>
      </c>
      <c r="D113" s="9" t="s">
        <v>684</v>
      </c>
      <c r="E113" s="9"/>
      <c r="F113" s="45" t="s">
        <v>1392</v>
      </c>
      <c r="G113" s="9" t="s">
        <v>1141</v>
      </c>
      <c r="H113" s="9" t="s">
        <v>1264</v>
      </c>
      <c r="I113" s="9" t="s">
        <v>1141</v>
      </c>
      <c r="J113" s="9" t="s">
        <v>1140</v>
      </c>
      <c r="K113" s="9"/>
      <c r="L113" s="9"/>
    </row>
    <row r="114" spans="1:12" s="10" customFormat="1" ht="12">
      <c r="A114" s="20" t="str">
        <f t="shared" si="1"/>
        <v>Urban waste</v>
      </c>
      <c r="B114" s="9" t="s">
        <v>1142</v>
      </c>
      <c r="C114" s="9" t="s">
        <v>1143</v>
      </c>
      <c r="D114" s="9" t="s">
        <v>685</v>
      </c>
      <c r="E114" s="9"/>
      <c r="F114" s="45" t="s">
        <v>1393</v>
      </c>
      <c r="G114" s="9" t="s">
        <v>108</v>
      </c>
      <c r="H114" s="9" t="s">
        <v>1265</v>
      </c>
      <c r="I114" s="9" t="s">
        <v>889</v>
      </c>
      <c r="J114" s="9" t="s">
        <v>109</v>
      </c>
      <c r="K114" s="9"/>
      <c r="L114" s="9"/>
    </row>
    <row r="115" spans="1:12" s="10" customFormat="1" ht="12">
      <c r="A115" s="20" t="str">
        <f t="shared" si="1"/>
        <v>Energy recovery</v>
      </c>
      <c r="B115" s="9" t="s">
        <v>110</v>
      </c>
      <c r="C115" s="9" t="s">
        <v>111</v>
      </c>
      <c r="D115" s="9" t="s">
        <v>686</v>
      </c>
      <c r="E115" s="9"/>
      <c r="F115" s="45" t="s">
        <v>112</v>
      </c>
      <c r="G115" s="9" t="s">
        <v>113</v>
      </c>
      <c r="H115" s="9" t="s">
        <v>114</v>
      </c>
      <c r="I115" s="9" t="s">
        <v>890</v>
      </c>
      <c r="J115" s="9" t="s">
        <v>115</v>
      </c>
      <c r="K115" s="9"/>
      <c r="L115" s="9"/>
    </row>
    <row r="116" spans="1:12" s="10" customFormat="1" ht="12">
      <c r="A116" s="20" t="str">
        <f t="shared" si="1"/>
        <v>Subtotal</v>
      </c>
      <c r="B116" s="9" t="s">
        <v>26</v>
      </c>
      <c r="C116" s="9" t="s">
        <v>26</v>
      </c>
      <c r="D116" s="9" t="s">
        <v>687</v>
      </c>
      <c r="E116" s="9"/>
      <c r="F116" s="45" t="s">
        <v>33</v>
      </c>
      <c r="G116" s="9" t="s">
        <v>34</v>
      </c>
      <c r="H116" s="9" t="s">
        <v>35</v>
      </c>
      <c r="I116" s="9" t="s">
        <v>891</v>
      </c>
      <c r="J116" s="9" t="s">
        <v>36</v>
      </c>
      <c r="K116" s="9"/>
      <c r="L116" s="9"/>
    </row>
    <row r="117" spans="1:12" s="10" customFormat="1" ht="12">
      <c r="A117" s="20" t="str">
        <f t="shared" si="1"/>
        <v>TOTAL FOR INTERNAL MARKET</v>
      </c>
      <c r="B117" s="9" t="s">
        <v>319</v>
      </c>
      <c r="C117" s="9" t="s">
        <v>318</v>
      </c>
      <c r="D117" s="9" t="s">
        <v>688</v>
      </c>
      <c r="E117" s="9"/>
      <c r="F117" s="45" t="s">
        <v>317</v>
      </c>
      <c r="G117" s="9" t="s">
        <v>1025</v>
      </c>
      <c r="H117" s="9" t="s">
        <v>316</v>
      </c>
      <c r="I117" s="9" t="s">
        <v>892</v>
      </c>
      <c r="J117" s="9" t="s">
        <v>315</v>
      </c>
      <c r="K117" s="9"/>
      <c r="L117" s="9"/>
    </row>
    <row r="118" spans="1:12" s="10" customFormat="1" ht="12">
      <c r="A118" s="20" t="str">
        <f t="shared" si="1"/>
        <v>TOTAL</v>
      </c>
      <c r="B118" s="9" t="s">
        <v>1144</v>
      </c>
      <c r="C118" s="9" t="s">
        <v>1144</v>
      </c>
      <c r="D118" s="9" t="s">
        <v>689</v>
      </c>
      <c r="E118" s="9"/>
      <c r="F118" s="45" t="s">
        <v>1409</v>
      </c>
      <c r="G118" s="9" t="s">
        <v>1144</v>
      </c>
      <c r="H118" s="9" t="s">
        <v>1144</v>
      </c>
      <c r="I118" s="9" t="s">
        <v>893</v>
      </c>
      <c r="J118" s="9" t="s">
        <v>1330</v>
      </c>
      <c r="K118" s="9"/>
      <c r="L118" s="9"/>
    </row>
    <row r="119" spans="1:12" s="10" customFormat="1" ht="24">
      <c r="A119" s="20" t="str">
        <f t="shared" si="1"/>
        <v>SECONDARY ENERGY PRODUCTION AND ENERGY FLUXES</v>
      </c>
      <c r="B119" s="9" t="s">
        <v>1145</v>
      </c>
      <c r="C119" s="9" t="s">
        <v>1146</v>
      </c>
      <c r="D119" s="9" t="s">
        <v>695</v>
      </c>
      <c r="E119" s="9"/>
      <c r="F119" s="45" t="s">
        <v>314</v>
      </c>
      <c r="G119" s="9" t="s">
        <v>1220</v>
      </c>
      <c r="H119" s="9" t="s">
        <v>313</v>
      </c>
      <c r="I119" s="9" t="s">
        <v>894</v>
      </c>
      <c r="J119" s="9" t="s">
        <v>312</v>
      </c>
      <c r="K119" s="9"/>
      <c r="L119" s="9"/>
    </row>
    <row r="120" spans="1:12" s="10" customFormat="1" ht="12">
      <c r="A120" s="20" t="str">
        <f t="shared" si="1"/>
        <v>PRODUCTION SECTOR</v>
      </c>
      <c r="B120" s="9" t="s">
        <v>311</v>
      </c>
      <c r="C120" s="9" t="s">
        <v>310</v>
      </c>
      <c r="D120" s="9" t="s">
        <v>696</v>
      </c>
      <c r="E120" s="9"/>
      <c r="F120" s="45" t="s">
        <v>309</v>
      </c>
      <c r="G120" s="9" t="s">
        <v>308</v>
      </c>
      <c r="H120" s="9" t="s">
        <v>307</v>
      </c>
      <c r="I120" s="9" t="s">
        <v>895</v>
      </c>
      <c r="J120" s="9" t="s">
        <v>306</v>
      </c>
      <c r="K120" s="9"/>
      <c r="L120" s="9"/>
    </row>
    <row r="121" spans="1:12" s="10" customFormat="1" ht="12">
      <c r="A121" s="20" t="str">
        <f t="shared" si="1"/>
        <v>ENERGY SOURCE</v>
      </c>
      <c r="B121" s="9" t="s">
        <v>305</v>
      </c>
      <c r="C121" s="9" t="s">
        <v>304</v>
      </c>
      <c r="D121" s="9" t="s">
        <v>697</v>
      </c>
      <c r="E121" s="9"/>
      <c r="F121" s="45" t="s">
        <v>303</v>
      </c>
      <c r="G121" s="9" t="s">
        <v>302</v>
      </c>
      <c r="H121" s="9" t="s">
        <v>301</v>
      </c>
      <c r="I121" s="9" t="s">
        <v>896</v>
      </c>
      <c r="J121" s="9" t="s">
        <v>300</v>
      </c>
      <c r="K121" s="9"/>
      <c r="L121" s="9"/>
    </row>
    <row r="122" spans="1:12" s="10" customFormat="1" ht="12">
      <c r="A122" s="20" t="str">
        <f t="shared" si="1"/>
        <v>Energy product</v>
      </c>
      <c r="B122" s="9" t="s">
        <v>299</v>
      </c>
      <c r="C122" s="9" t="s">
        <v>298</v>
      </c>
      <c r="D122" s="9" t="s">
        <v>698</v>
      </c>
      <c r="E122" s="9"/>
      <c r="F122" s="45" t="s">
        <v>297</v>
      </c>
      <c r="G122" s="9" t="s">
        <v>296</v>
      </c>
      <c r="H122" s="9" t="s">
        <v>295</v>
      </c>
      <c r="I122" s="9" t="s">
        <v>897</v>
      </c>
      <c r="J122" s="9" t="s">
        <v>294</v>
      </c>
      <c r="K122" s="9"/>
      <c r="L122" s="9"/>
    </row>
    <row r="123" spans="1:12" s="10" customFormat="1" ht="12">
      <c r="A123" s="20" t="str">
        <f t="shared" si="1"/>
        <v>Electricity</v>
      </c>
      <c r="B123" s="9" t="s">
        <v>293</v>
      </c>
      <c r="C123" s="9" t="s">
        <v>292</v>
      </c>
      <c r="D123" s="9" t="s">
        <v>699</v>
      </c>
      <c r="E123" s="9"/>
      <c r="F123" s="45" t="s">
        <v>291</v>
      </c>
      <c r="G123" s="9" t="s">
        <v>290</v>
      </c>
      <c r="H123" s="9" t="s">
        <v>290</v>
      </c>
      <c r="I123" s="9" t="s">
        <v>898</v>
      </c>
      <c r="J123" s="9" t="s">
        <v>289</v>
      </c>
      <c r="K123" s="9"/>
      <c r="L123" s="9"/>
    </row>
    <row r="124" spans="1:12" s="10" customFormat="1" ht="12">
      <c r="A124" s="20" t="str">
        <f t="shared" si="1"/>
        <v>Heat</v>
      </c>
      <c r="B124" s="9" t="s">
        <v>288</v>
      </c>
      <c r="C124" s="9" t="s">
        <v>287</v>
      </c>
      <c r="D124" s="9" t="s">
        <v>287</v>
      </c>
      <c r="E124" s="9"/>
      <c r="F124" s="45" t="s">
        <v>286</v>
      </c>
      <c r="G124" s="9" t="s">
        <v>285</v>
      </c>
      <c r="H124" s="9" t="s">
        <v>284</v>
      </c>
      <c r="I124" s="9" t="s">
        <v>899</v>
      </c>
      <c r="J124" s="9" t="s">
        <v>283</v>
      </c>
      <c r="K124" s="9"/>
      <c r="L124" s="9"/>
    </row>
    <row r="125" spans="1:12" s="10" customFormat="1" ht="12">
      <c r="A125" s="20" t="str">
        <f t="shared" si="1"/>
        <v>Cold</v>
      </c>
      <c r="B125" s="9" t="s">
        <v>282</v>
      </c>
      <c r="C125" s="9" t="s">
        <v>281</v>
      </c>
      <c r="D125" s="9" t="s">
        <v>700</v>
      </c>
      <c r="E125" s="9"/>
      <c r="F125" s="45" t="s">
        <v>280</v>
      </c>
      <c r="G125" s="9" t="s">
        <v>62</v>
      </c>
      <c r="H125" s="9" t="s">
        <v>279</v>
      </c>
      <c r="I125" s="9" t="s">
        <v>900</v>
      </c>
      <c r="J125" s="9" t="s">
        <v>278</v>
      </c>
      <c r="K125" s="9"/>
      <c r="L125" s="9"/>
    </row>
    <row r="126" spans="1:12" s="10" customFormat="1" ht="36">
      <c r="A126" s="20" t="str">
        <f t="shared" si="1"/>
        <v>PRIMARY ENERGY CONVERTED TO SECONDARY ENERGY (primary energy consumption)</v>
      </c>
      <c r="B126" s="9" t="s">
        <v>277</v>
      </c>
      <c r="C126" s="9" t="s">
        <v>276</v>
      </c>
      <c r="D126" s="9" t="s">
        <v>701</v>
      </c>
      <c r="E126" s="9"/>
      <c r="F126" s="45" t="s">
        <v>275</v>
      </c>
      <c r="G126" s="9" t="s">
        <v>274</v>
      </c>
      <c r="H126" s="9" t="s">
        <v>273</v>
      </c>
      <c r="I126" s="9" t="s">
        <v>901</v>
      </c>
      <c r="J126" s="9" t="s">
        <v>272</v>
      </c>
      <c r="K126" s="9"/>
      <c r="L126" s="9"/>
    </row>
    <row r="127" spans="1:12" s="10" customFormat="1" ht="24">
      <c r="A127" s="20" t="str">
        <f t="shared" si="1"/>
        <v>Conversion losses from primary to secondary energy</v>
      </c>
      <c r="B127" s="9" t="s">
        <v>271</v>
      </c>
      <c r="C127" s="9" t="s">
        <v>270</v>
      </c>
      <c r="D127" s="9" t="s">
        <v>702</v>
      </c>
      <c r="E127" s="9"/>
      <c r="F127" s="45" t="s">
        <v>269</v>
      </c>
      <c r="G127" s="9" t="s">
        <v>268</v>
      </c>
      <c r="H127" s="9" t="s">
        <v>267</v>
      </c>
      <c r="I127" s="9" t="s">
        <v>902</v>
      </c>
      <c r="J127" s="9" t="s">
        <v>266</v>
      </c>
      <c r="K127" s="9"/>
      <c r="L127" s="9"/>
    </row>
    <row r="128" spans="1:12" s="10" customFormat="1" ht="12">
      <c r="A128" s="20" t="str">
        <f t="shared" si="1"/>
        <v>ENERGY CONVERSION EFFICIENCY</v>
      </c>
      <c r="B128" s="9" t="s">
        <v>265</v>
      </c>
      <c r="C128" s="9" t="s">
        <v>264</v>
      </c>
      <c r="D128" s="9" t="s">
        <v>703</v>
      </c>
      <c r="E128" s="9"/>
      <c r="F128" s="45" t="s">
        <v>263</v>
      </c>
      <c r="G128" s="9" t="s">
        <v>262</v>
      </c>
      <c r="H128" s="9" t="s">
        <v>261</v>
      </c>
      <c r="I128" s="9" t="s">
        <v>903</v>
      </c>
      <c r="J128" s="9" t="s">
        <v>260</v>
      </c>
      <c r="K128" s="9"/>
      <c r="L128" s="9"/>
    </row>
    <row r="129" spans="1:12" s="10" customFormat="1" ht="12">
      <c r="A129" s="20" t="str">
        <f t="shared" si="1"/>
        <v>ENERGY FLUXES</v>
      </c>
      <c r="B129" s="9" t="s">
        <v>259</v>
      </c>
      <c r="C129" s="9" t="s">
        <v>258</v>
      </c>
      <c r="D129" s="9" t="s">
        <v>704</v>
      </c>
      <c r="E129" s="9"/>
      <c r="F129" s="45" t="s">
        <v>257</v>
      </c>
      <c r="G129" s="9" t="s">
        <v>256</v>
      </c>
      <c r="H129" s="9" t="s">
        <v>255</v>
      </c>
      <c r="I129" s="9" t="s">
        <v>904</v>
      </c>
      <c r="J129" s="9" t="s">
        <v>254</v>
      </c>
      <c r="K129" s="9"/>
      <c r="L129" s="9"/>
    </row>
    <row r="130" spans="1:12" s="10" customFormat="1" ht="12">
      <c r="A130" s="20" t="str">
        <f t="shared" si="1"/>
        <v>Storage</v>
      </c>
      <c r="B130" s="9" t="s">
        <v>1147</v>
      </c>
      <c r="C130" s="9" t="s">
        <v>1148</v>
      </c>
      <c r="D130" s="9" t="s">
        <v>705</v>
      </c>
      <c r="E130" s="9"/>
      <c r="F130" s="45" t="s">
        <v>1394</v>
      </c>
      <c r="G130" s="9" t="s">
        <v>1226</v>
      </c>
      <c r="H130" s="9" t="s">
        <v>253</v>
      </c>
      <c r="I130" s="9" t="s">
        <v>905</v>
      </c>
      <c r="J130" s="9" t="s">
        <v>252</v>
      </c>
      <c r="K130" s="9"/>
      <c r="L130" s="9"/>
    </row>
    <row r="131" spans="1:12" s="10" customFormat="1" ht="12">
      <c r="A131" s="20" t="str">
        <f t="shared" si="1"/>
        <v>Input to storage</v>
      </c>
      <c r="B131" s="9" t="s">
        <v>251</v>
      </c>
      <c r="C131" s="9" t="s">
        <v>250</v>
      </c>
      <c r="D131" s="9" t="s">
        <v>706</v>
      </c>
      <c r="E131" s="9"/>
      <c r="F131" s="45" t="s">
        <v>249</v>
      </c>
      <c r="G131" s="9" t="s">
        <v>1026</v>
      </c>
      <c r="H131" s="9" t="s">
        <v>248</v>
      </c>
      <c r="I131" s="9" t="s">
        <v>906</v>
      </c>
      <c r="J131" s="9" t="s">
        <v>247</v>
      </c>
      <c r="K131" s="9"/>
      <c r="L131" s="9"/>
    </row>
    <row r="132" spans="1:12" s="10" customFormat="1" ht="12">
      <c r="A132" s="20" t="str">
        <f t="shared" si="1"/>
        <v>Output from storage</v>
      </c>
      <c r="B132" s="9" t="s">
        <v>246</v>
      </c>
      <c r="C132" s="9" t="s">
        <v>245</v>
      </c>
      <c r="D132" s="9" t="s">
        <v>707</v>
      </c>
      <c r="E132" s="9"/>
      <c r="F132" s="45" t="s">
        <v>244</v>
      </c>
      <c r="G132" s="9" t="s">
        <v>1027</v>
      </c>
      <c r="H132" s="9" t="s">
        <v>243</v>
      </c>
      <c r="I132" s="9" t="s">
        <v>907</v>
      </c>
      <c r="J132" s="9" t="s">
        <v>242</v>
      </c>
      <c r="K132" s="9"/>
      <c r="L132" s="9"/>
    </row>
    <row r="133" spans="1:12" s="10" customFormat="1" ht="12">
      <c r="A133" s="20" t="str">
        <f t="shared" si="1"/>
        <v>External connection</v>
      </c>
      <c r="B133" s="9" t="s">
        <v>1149</v>
      </c>
      <c r="C133" s="9" t="s">
        <v>1150</v>
      </c>
      <c r="D133" s="9" t="s">
        <v>708</v>
      </c>
      <c r="E133" s="9"/>
      <c r="F133" s="45" t="s">
        <v>241</v>
      </c>
      <c r="G133" s="9" t="s">
        <v>240</v>
      </c>
      <c r="H133" s="9" t="s">
        <v>1266</v>
      </c>
      <c r="I133" s="9" t="s">
        <v>908</v>
      </c>
      <c r="J133" s="9" t="s">
        <v>239</v>
      </c>
      <c r="K133" s="9"/>
      <c r="L133" s="9"/>
    </row>
    <row r="134" spans="1:12" s="10" customFormat="1" ht="12">
      <c r="A134" s="20" t="str">
        <f t="shared" si="1"/>
        <v>Import to island</v>
      </c>
      <c r="B134" s="9" t="s">
        <v>238</v>
      </c>
      <c r="C134" s="9" t="s">
        <v>237</v>
      </c>
      <c r="D134" s="9" t="s">
        <v>709</v>
      </c>
      <c r="E134" s="9"/>
      <c r="F134" s="45" t="s">
        <v>236</v>
      </c>
      <c r="G134" s="9" t="s">
        <v>235</v>
      </c>
      <c r="H134" s="9" t="s">
        <v>234</v>
      </c>
      <c r="I134" s="9" t="s">
        <v>909</v>
      </c>
      <c r="J134" s="9" t="s">
        <v>233</v>
      </c>
      <c r="K134" s="9"/>
      <c r="L134" s="9"/>
    </row>
    <row r="135" spans="1:12" s="10" customFormat="1" ht="12">
      <c r="A135" s="20" t="str">
        <f t="shared" si="1"/>
        <v>Export from island</v>
      </c>
      <c r="B135" s="9" t="s">
        <v>232</v>
      </c>
      <c r="C135" s="9" t="s">
        <v>231</v>
      </c>
      <c r="D135" s="9" t="s">
        <v>710</v>
      </c>
      <c r="E135" s="9"/>
      <c r="F135" s="45" t="s">
        <v>230</v>
      </c>
      <c r="G135" s="9" t="s">
        <v>229</v>
      </c>
      <c r="H135" s="9" t="s">
        <v>228</v>
      </c>
      <c r="I135" s="9" t="s">
        <v>910</v>
      </c>
      <c r="J135" s="9" t="s">
        <v>227</v>
      </c>
      <c r="K135" s="9"/>
      <c r="L135" s="9"/>
    </row>
    <row r="136" spans="1:12" s="10" customFormat="1" ht="12">
      <c r="A136" s="20" t="str">
        <f aca="true" t="shared" si="2" ref="A136:A199">IF($A$6=$B$6,B136,"")&amp;IF($A$6=$C$6,C136,"")&amp;IF($A$6=$D$6,D136,"")&amp;IF($A$6=$E$6,E136,"")&amp;IF($A$6=$F$6,F136,"")&amp;IF($A$6=$G$6,G136,"")&amp;IF($A$6=$H$6,H136,"")&amp;IF($A$6=$I$6,I136,"")&amp;IF($A$6=$J$6,J136,"")&amp;IF($A$6=$K$6,K136,"")&amp;IF($A$6=$L$6,L136,"")</f>
        <v>Reexportation and external consumption</v>
      </c>
      <c r="B136" s="9" t="s">
        <v>226</v>
      </c>
      <c r="C136" s="12" t="s">
        <v>225</v>
      </c>
      <c r="D136" s="9" t="s">
        <v>711</v>
      </c>
      <c r="E136" s="9"/>
      <c r="F136" s="45" t="s">
        <v>224</v>
      </c>
      <c r="G136" s="9" t="s">
        <v>223</v>
      </c>
      <c r="H136" s="9" t="s">
        <v>222</v>
      </c>
      <c r="I136" s="9" t="s">
        <v>911</v>
      </c>
      <c r="J136" s="9" t="s">
        <v>221</v>
      </c>
      <c r="K136" s="9"/>
      <c r="L136" s="9"/>
    </row>
    <row r="137" spans="1:12" s="10" customFormat="1" ht="24">
      <c r="A137" s="20" t="str">
        <f t="shared" si="2"/>
        <v>Distribution losses and self-consumption</v>
      </c>
      <c r="B137" s="9" t="s">
        <v>1151</v>
      </c>
      <c r="C137" s="9" t="s">
        <v>1152</v>
      </c>
      <c r="D137" s="9" t="s">
        <v>712</v>
      </c>
      <c r="E137" s="9"/>
      <c r="F137" s="45" t="s">
        <v>220</v>
      </c>
      <c r="G137" s="9" t="s">
        <v>219</v>
      </c>
      <c r="H137" s="9" t="s">
        <v>218</v>
      </c>
      <c r="I137" s="9" t="s">
        <v>912</v>
      </c>
      <c r="J137" s="9" t="s">
        <v>217</v>
      </c>
      <c r="K137" s="9"/>
      <c r="L137" s="9"/>
    </row>
    <row r="138" spans="1:12" s="10" customFormat="1" ht="12">
      <c r="A138" s="20" t="str">
        <f t="shared" si="2"/>
        <v>SECONDARY ENERGY CONVERSION</v>
      </c>
      <c r="B138" s="9" t="s">
        <v>216</v>
      </c>
      <c r="C138" s="9" t="s">
        <v>215</v>
      </c>
      <c r="D138" s="9" t="s">
        <v>713</v>
      </c>
      <c r="E138" s="9"/>
      <c r="F138" s="45" t="s">
        <v>214</v>
      </c>
      <c r="G138" s="9" t="s">
        <v>213</v>
      </c>
      <c r="H138" s="9" t="s">
        <v>212</v>
      </c>
      <c r="I138" s="9" t="s">
        <v>913</v>
      </c>
      <c r="J138" s="9" t="s">
        <v>211</v>
      </c>
      <c r="K138" s="9"/>
      <c r="L138" s="9"/>
    </row>
    <row r="139" spans="1:12" s="10" customFormat="1" ht="12">
      <c r="A139" s="20" t="str">
        <f t="shared" si="2"/>
        <v>Electricity conversion to cold</v>
      </c>
      <c r="B139" s="9" t="s">
        <v>210</v>
      </c>
      <c r="C139" s="9" t="s">
        <v>209</v>
      </c>
      <c r="D139" s="9" t="s">
        <v>714</v>
      </c>
      <c r="E139" s="9"/>
      <c r="F139" s="45" t="s">
        <v>208</v>
      </c>
      <c r="G139" s="9" t="s">
        <v>207</v>
      </c>
      <c r="H139" s="9" t="s">
        <v>206</v>
      </c>
      <c r="I139" s="9" t="s">
        <v>914</v>
      </c>
      <c r="J139" s="9" t="s">
        <v>205</v>
      </c>
      <c r="K139" s="9"/>
      <c r="L139" s="9"/>
    </row>
    <row r="140" spans="1:12" s="10" customFormat="1" ht="12">
      <c r="A140" s="20" t="str">
        <f t="shared" si="2"/>
        <v>Heat conversion to cold</v>
      </c>
      <c r="B140" s="9" t="s">
        <v>204</v>
      </c>
      <c r="C140" s="9" t="s">
        <v>203</v>
      </c>
      <c r="D140" s="9" t="s">
        <v>715</v>
      </c>
      <c r="E140" s="9"/>
      <c r="F140" s="45" t="s">
        <v>202</v>
      </c>
      <c r="G140" s="9" t="s">
        <v>201</v>
      </c>
      <c r="H140" s="9" t="s">
        <v>200</v>
      </c>
      <c r="I140" s="9" t="s">
        <v>915</v>
      </c>
      <c r="J140" s="9" t="s">
        <v>199</v>
      </c>
      <c r="K140" s="9"/>
      <c r="L140" s="9"/>
    </row>
    <row r="141" spans="1:12" s="10" customFormat="1" ht="12">
      <c r="A141" s="20" t="str">
        <f t="shared" si="2"/>
        <v>Final energy demand</v>
      </c>
      <c r="B141" s="9" t="s">
        <v>198</v>
      </c>
      <c r="C141" s="9" t="s">
        <v>197</v>
      </c>
      <c r="D141" s="9" t="s">
        <v>649</v>
      </c>
      <c r="E141" s="9"/>
      <c r="F141" s="45" t="s">
        <v>196</v>
      </c>
      <c r="G141" s="9" t="s">
        <v>195</v>
      </c>
      <c r="H141" s="9" t="s">
        <v>194</v>
      </c>
      <c r="I141" s="9" t="s">
        <v>916</v>
      </c>
      <c r="J141" s="9" t="s">
        <v>193</v>
      </c>
      <c r="K141" s="9"/>
      <c r="L141" s="9"/>
    </row>
    <row r="142" spans="1:12" s="10" customFormat="1" ht="12">
      <c r="A142" s="20" t="str">
        <f t="shared" si="2"/>
        <v>PRIMARY ENERGY SOURCE</v>
      </c>
      <c r="B142" s="9" t="s">
        <v>192</v>
      </c>
      <c r="C142" s="9" t="s">
        <v>191</v>
      </c>
      <c r="D142" s="9" t="s">
        <v>716</v>
      </c>
      <c r="E142" s="9"/>
      <c r="F142" s="45" t="s">
        <v>190</v>
      </c>
      <c r="G142" s="9" t="s">
        <v>189</v>
      </c>
      <c r="H142" s="9" t="s">
        <v>188</v>
      </c>
      <c r="I142" s="9" t="s">
        <v>917</v>
      </c>
      <c r="J142" s="9" t="s">
        <v>187</v>
      </c>
      <c r="K142" s="9"/>
      <c r="L142" s="9"/>
    </row>
    <row r="143" spans="1:12" s="10" customFormat="1" ht="12">
      <c r="A143" s="20" t="str">
        <f t="shared" si="2"/>
        <v>PRIMARY ENERGY DEMAND</v>
      </c>
      <c r="B143" s="9" t="s">
        <v>186</v>
      </c>
      <c r="C143" s="9" t="s">
        <v>185</v>
      </c>
      <c r="D143" s="9" t="s">
        <v>717</v>
      </c>
      <c r="E143" s="9"/>
      <c r="F143" s="45" t="s">
        <v>184</v>
      </c>
      <c r="G143" s="9" t="s">
        <v>183</v>
      </c>
      <c r="H143" s="9" t="s">
        <v>182</v>
      </c>
      <c r="I143" s="9" t="s">
        <v>918</v>
      </c>
      <c r="J143" s="9" t="s">
        <v>181</v>
      </c>
      <c r="K143" s="9"/>
      <c r="L143" s="9"/>
    </row>
    <row r="144" spans="1:12" s="10" customFormat="1" ht="12">
      <c r="A144" s="20" t="str">
        <f t="shared" si="2"/>
        <v>Imported electricity (cable)</v>
      </c>
      <c r="B144" s="9" t="s">
        <v>180</v>
      </c>
      <c r="C144" s="9" t="s">
        <v>179</v>
      </c>
      <c r="D144" s="9" t="s">
        <v>718</v>
      </c>
      <c r="E144" s="9"/>
      <c r="F144" s="45" t="s">
        <v>178</v>
      </c>
      <c r="G144" s="9" t="s">
        <v>177</v>
      </c>
      <c r="H144" s="9" t="s">
        <v>176</v>
      </c>
      <c r="I144" s="9" t="s">
        <v>919</v>
      </c>
      <c r="J144" s="9" t="s">
        <v>175</v>
      </c>
      <c r="K144" s="9"/>
      <c r="L144" s="9"/>
    </row>
    <row r="145" spans="1:12" s="10" customFormat="1" ht="12">
      <c r="A145" s="20" t="str">
        <f t="shared" si="2"/>
        <v>Exported electricity (cable)</v>
      </c>
      <c r="B145" s="9" t="s">
        <v>174</v>
      </c>
      <c r="C145" s="9" t="s">
        <v>173</v>
      </c>
      <c r="D145" s="9" t="s">
        <v>719</v>
      </c>
      <c r="E145" s="9"/>
      <c r="F145" s="45" t="s">
        <v>172</v>
      </c>
      <c r="G145" s="9" t="s">
        <v>171</v>
      </c>
      <c r="H145" s="9" t="s">
        <v>170</v>
      </c>
      <c r="I145" s="9" t="s">
        <v>920</v>
      </c>
      <c r="J145" s="9" t="s">
        <v>169</v>
      </c>
      <c r="K145" s="9"/>
      <c r="L145" s="9"/>
    </row>
    <row r="146" spans="1:12" s="10" customFormat="1" ht="13.5">
      <c r="A146" s="20" t="str">
        <f t="shared" si="2"/>
        <v>CO2 EMISSIONS</v>
      </c>
      <c r="B146" s="9" t="s">
        <v>168</v>
      </c>
      <c r="C146" s="9" t="s">
        <v>167</v>
      </c>
      <c r="D146" s="9" t="s">
        <v>720</v>
      </c>
      <c r="E146" s="9"/>
      <c r="F146" s="45" t="s">
        <v>166</v>
      </c>
      <c r="G146" s="9" t="s">
        <v>1028</v>
      </c>
      <c r="H146" s="9" t="s">
        <v>165</v>
      </c>
      <c r="I146" s="9" t="s">
        <v>921</v>
      </c>
      <c r="J146" s="9" t="s">
        <v>164</v>
      </c>
      <c r="K146" s="9"/>
      <c r="L146" s="9"/>
    </row>
    <row r="147" spans="1:12" s="10" customFormat="1" ht="13.5">
      <c r="A147" s="20" t="str">
        <f t="shared" si="2"/>
        <v>CO2 EMISSIONS FROM PRODUCTION</v>
      </c>
      <c r="B147" s="9" t="s">
        <v>163</v>
      </c>
      <c r="C147" s="9" t="s">
        <v>162</v>
      </c>
      <c r="D147" s="9" t="s">
        <v>721</v>
      </c>
      <c r="E147" s="9"/>
      <c r="F147" s="45" t="s">
        <v>161</v>
      </c>
      <c r="G147" s="9" t="s">
        <v>1029</v>
      </c>
      <c r="H147" s="9" t="s">
        <v>160</v>
      </c>
      <c r="I147" s="9" t="s">
        <v>922</v>
      </c>
      <c r="J147" s="9" t="s">
        <v>159</v>
      </c>
      <c r="K147" s="9"/>
      <c r="L147" s="9"/>
    </row>
    <row r="148" spans="1:12" s="10" customFormat="1" ht="13.5">
      <c r="A148" s="20" t="str">
        <f t="shared" si="2"/>
        <v>CO2 EMISSIONS FROM FINAL USE</v>
      </c>
      <c r="B148" s="9" t="s">
        <v>158</v>
      </c>
      <c r="C148" s="9" t="s">
        <v>157</v>
      </c>
      <c r="D148" s="9" t="s">
        <v>722</v>
      </c>
      <c r="E148" s="9"/>
      <c r="F148" s="45" t="s">
        <v>156</v>
      </c>
      <c r="G148" s="9" t="s">
        <v>1030</v>
      </c>
      <c r="H148" s="9" t="s">
        <v>155</v>
      </c>
      <c r="I148" s="9" t="s">
        <v>923</v>
      </c>
      <c r="J148" s="9" t="s">
        <v>154</v>
      </c>
      <c r="K148" s="9"/>
      <c r="L148" s="9"/>
    </row>
    <row r="149" spans="1:12" s="10" customFormat="1" ht="13.5">
      <c r="A149" s="20" t="str">
        <f t="shared" si="2"/>
        <v>CO2 EMISSION FACTORS</v>
      </c>
      <c r="B149" s="9" t="s">
        <v>153</v>
      </c>
      <c r="C149" s="9" t="s">
        <v>152</v>
      </c>
      <c r="D149" s="9" t="s">
        <v>723</v>
      </c>
      <c r="E149" s="9"/>
      <c r="F149" s="45" t="s">
        <v>151</v>
      </c>
      <c r="G149" s="9" t="s">
        <v>1031</v>
      </c>
      <c r="H149" s="9" t="s">
        <v>150</v>
      </c>
      <c r="I149" s="9" t="s">
        <v>924</v>
      </c>
      <c r="J149" s="9" t="s">
        <v>149</v>
      </c>
      <c r="K149" s="9"/>
      <c r="L149" s="9"/>
    </row>
    <row r="150" spans="1:12" s="10" customFormat="1" ht="36">
      <c r="A150" s="20" t="str">
        <f t="shared" si="2"/>
        <v>CO2 emissions from ETS installations included in the calculations for final use of energy</v>
      </c>
      <c r="B150" s="9" t="s">
        <v>148</v>
      </c>
      <c r="C150" s="9" t="s">
        <v>147</v>
      </c>
      <c r="D150" s="9" t="s">
        <v>724</v>
      </c>
      <c r="E150" s="9"/>
      <c r="F150" s="45" t="s">
        <v>146</v>
      </c>
      <c r="G150" s="9" t="s">
        <v>1032</v>
      </c>
      <c r="H150" s="9" t="s">
        <v>145</v>
      </c>
      <c r="I150" s="9" t="s">
        <v>925</v>
      </c>
      <c r="J150" s="9" t="s">
        <v>144</v>
      </c>
      <c r="K150" s="9"/>
      <c r="L150" s="9"/>
    </row>
    <row r="151" spans="1:12" s="10" customFormat="1" ht="36">
      <c r="A151" s="20" t="str">
        <f t="shared" si="2"/>
        <v>CO2 emissions from ETS installations included in the calculations for secondary energy production</v>
      </c>
      <c r="B151" s="9" t="s">
        <v>143</v>
      </c>
      <c r="C151" s="9" t="s">
        <v>142</v>
      </c>
      <c r="D151" s="9" t="s">
        <v>725</v>
      </c>
      <c r="E151" s="9"/>
      <c r="F151" s="45" t="s">
        <v>141</v>
      </c>
      <c r="G151" s="9" t="s">
        <v>1033</v>
      </c>
      <c r="H151" s="9" t="s">
        <v>140</v>
      </c>
      <c r="I151" s="9" t="s">
        <v>926</v>
      </c>
      <c r="J151" s="9" t="s">
        <v>139</v>
      </c>
      <c r="K151" s="9"/>
      <c r="L151" s="9"/>
    </row>
    <row r="152" spans="1:12" s="10" customFormat="1" ht="24">
      <c r="A152" s="20" t="str">
        <f t="shared" si="2"/>
        <v>RESULTS OF EMISSION INVENTORY</v>
      </c>
      <c r="B152" s="9" t="s">
        <v>436</v>
      </c>
      <c r="C152" s="9" t="s">
        <v>437</v>
      </c>
      <c r="D152" s="9" t="s">
        <v>726</v>
      </c>
      <c r="E152" s="9"/>
      <c r="F152" s="45" t="s">
        <v>540</v>
      </c>
      <c r="G152" s="9" t="s">
        <v>1034</v>
      </c>
      <c r="H152" s="9" t="s">
        <v>798</v>
      </c>
      <c r="I152" s="9" t="s">
        <v>927</v>
      </c>
      <c r="J152" s="233" t="s">
        <v>601</v>
      </c>
      <c r="K152" s="9"/>
      <c r="L152" s="9"/>
    </row>
    <row r="153" spans="1:12" s="10" customFormat="1" ht="24">
      <c r="A153" s="20" t="str">
        <f t="shared" si="2"/>
        <v>Go to the next sheet dedicated to your Emission Inventory in 2020 </v>
      </c>
      <c r="B153" s="9" t="s">
        <v>505</v>
      </c>
      <c r="C153" s="9" t="s">
        <v>506</v>
      </c>
      <c r="D153" s="9" t="s">
        <v>727</v>
      </c>
      <c r="E153" s="9"/>
      <c r="F153" s="45" t="s">
        <v>541</v>
      </c>
      <c r="G153" s="9" t="s">
        <v>1035</v>
      </c>
      <c r="H153" s="9" t="s">
        <v>799</v>
      </c>
      <c r="I153" s="9" t="s">
        <v>928</v>
      </c>
      <c r="J153" s="233" t="s">
        <v>602</v>
      </c>
      <c r="K153" s="9"/>
      <c r="L153" s="9"/>
    </row>
    <row r="154" spans="1:12" s="10" customFormat="1" ht="36">
      <c r="A154" s="20" t="str">
        <f t="shared" si="2"/>
        <v>PLAN EMISSION INVENTORY IN 2020 (implementing sustainable energy actions)</v>
      </c>
      <c r="B154" s="9" t="s">
        <v>451</v>
      </c>
      <c r="C154" s="9" t="s">
        <v>452</v>
      </c>
      <c r="D154" s="9" t="s">
        <v>728</v>
      </c>
      <c r="E154" s="9"/>
      <c r="F154" s="45" t="s">
        <v>542</v>
      </c>
      <c r="G154" s="9" t="s">
        <v>1036</v>
      </c>
      <c r="H154" s="9" t="s">
        <v>800</v>
      </c>
      <c r="I154" s="9" t="s">
        <v>929</v>
      </c>
      <c r="J154" s="233" t="s">
        <v>603</v>
      </c>
      <c r="K154" s="9"/>
      <c r="L154" s="9"/>
    </row>
    <row r="155" spans="1:12" s="10" customFormat="1" ht="24">
      <c r="A155" s="20" t="str">
        <f t="shared" si="2"/>
        <v>Go to the next sheet dedicated to your Island Sustainable Energy Action Plan </v>
      </c>
      <c r="B155" s="9" t="s">
        <v>507</v>
      </c>
      <c r="C155" s="9" t="s">
        <v>508</v>
      </c>
      <c r="D155" s="9" t="s">
        <v>729</v>
      </c>
      <c r="E155" s="9"/>
      <c r="F155" s="45" t="s">
        <v>543</v>
      </c>
      <c r="G155" s="9" t="s">
        <v>1037</v>
      </c>
      <c r="H155" s="9" t="s">
        <v>801</v>
      </c>
      <c r="I155" s="9" t="s">
        <v>930</v>
      </c>
      <c r="J155" s="233" t="s">
        <v>604</v>
      </c>
      <c r="K155" s="9"/>
      <c r="L155" s="9"/>
    </row>
    <row r="156" spans="1:12" s="10" customFormat="1" ht="24">
      <c r="A156" s="20" t="str">
        <f t="shared" si="2"/>
        <v>TITLE OF ISLAND SUSTAINABLE ENERGY ACTION PLAN</v>
      </c>
      <c r="B156" s="9" t="s">
        <v>439</v>
      </c>
      <c r="C156" s="9" t="s">
        <v>440</v>
      </c>
      <c r="D156" s="9" t="s">
        <v>730</v>
      </c>
      <c r="E156" s="9"/>
      <c r="F156" s="45" t="s">
        <v>544</v>
      </c>
      <c r="G156" s="9" t="s">
        <v>1038</v>
      </c>
      <c r="H156" s="9" t="s">
        <v>802</v>
      </c>
      <c r="I156" s="9" t="s">
        <v>931</v>
      </c>
      <c r="J156" s="9" t="s">
        <v>441</v>
      </c>
      <c r="K156" s="9"/>
      <c r="L156" s="9"/>
    </row>
    <row r="157" spans="1:12" s="10" customFormat="1" ht="12">
      <c r="A157" s="20" t="str">
        <f t="shared" si="2"/>
        <v>Date of formal approval</v>
      </c>
      <c r="B157" s="9" t="s">
        <v>1091</v>
      </c>
      <c r="C157" s="9" t="s">
        <v>1180</v>
      </c>
      <c r="D157" s="9" t="s">
        <v>731</v>
      </c>
      <c r="E157" s="9"/>
      <c r="F157" s="45" t="s">
        <v>1337</v>
      </c>
      <c r="G157" s="9" t="s">
        <v>1039</v>
      </c>
      <c r="H157" s="9" t="s">
        <v>1236</v>
      </c>
      <c r="I157" s="9" t="s">
        <v>932</v>
      </c>
      <c r="J157" s="9" t="s">
        <v>1287</v>
      </c>
      <c r="K157" s="9"/>
      <c r="L157" s="9"/>
    </row>
    <row r="158" spans="1:12" s="10" customFormat="1" ht="12">
      <c r="A158" s="20" t="str">
        <f t="shared" si="2"/>
        <v>Authority approving the plan</v>
      </c>
      <c r="B158" s="9" t="s">
        <v>1092</v>
      </c>
      <c r="C158" s="9" t="s">
        <v>1181</v>
      </c>
      <c r="D158" s="9" t="s">
        <v>732</v>
      </c>
      <c r="E158" s="9"/>
      <c r="F158" s="45" t="s">
        <v>1338</v>
      </c>
      <c r="G158" s="9" t="s">
        <v>1040</v>
      </c>
      <c r="H158" s="9" t="s">
        <v>1237</v>
      </c>
      <c r="I158" s="9" t="s">
        <v>933</v>
      </c>
      <c r="J158" s="9" t="s">
        <v>1288</v>
      </c>
      <c r="K158" s="9"/>
      <c r="L158" s="9"/>
    </row>
    <row r="159" spans="1:12" s="10" customFormat="1" ht="24">
      <c r="A159" s="20" t="str">
        <f t="shared" si="2"/>
        <v>KEY ELEMENTS OF ISLAND SUSTAINABLE ENERGY ACTION PLAN</v>
      </c>
      <c r="B159" s="9" t="s">
        <v>442</v>
      </c>
      <c r="C159" s="9" t="s">
        <v>443</v>
      </c>
      <c r="D159" s="9" t="s">
        <v>733</v>
      </c>
      <c r="E159" s="9"/>
      <c r="F159" s="45" t="s">
        <v>545</v>
      </c>
      <c r="G159" s="9" t="s">
        <v>1041</v>
      </c>
      <c r="H159" s="9" t="s">
        <v>803</v>
      </c>
      <c r="I159" s="9" t="s">
        <v>934</v>
      </c>
      <c r="J159" s="9" t="s">
        <v>444</v>
      </c>
      <c r="K159" s="9"/>
      <c r="L159" s="9"/>
    </row>
    <row r="160" spans="1:12" s="10" customFormat="1" ht="12">
      <c r="A160" s="20" t="str">
        <f t="shared" si="2"/>
        <v>SECTORS AND FIELDS OF ACTION</v>
      </c>
      <c r="B160" s="9" t="s">
        <v>1163</v>
      </c>
      <c r="C160" s="9" t="s">
        <v>1184</v>
      </c>
      <c r="D160" s="9" t="s">
        <v>734</v>
      </c>
      <c r="E160" s="9"/>
      <c r="F160" s="45" t="s">
        <v>1340</v>
      </c>
      <c r="G160" s="9" t="s">
        <v>1042</v>
      </c>
      <c r="H160" s="9" t="s">
        <v>1239</v>
      </c>
      <c r="I160" s="9" t="s">
        <v>935</v>
      </c>
      <c r="J160" s="9" t="s">
        <v>1290</v>
      </c>
      <c r="K160" s="9"/>
      <c r="L160" s="9"/>
    </row>
    <row r="161" spans="1:12" s="10" customFormat="1" ht="36">
      <c r="A161" s="20" t="str">
        <f t="shared" si="2"/>
        <v>ACTIONS
(one line per action - insert lines if necessary; exclude ETS actions)</v>
      </c>
      <c r="B161" s="9" t="s">
        <v>1164</v>
      </c>
      <c r="C161" s="9" t="s">
        <v>1185</v>
      </c>
      <c r="D161" s="9" t="s">
        <v>735</v>
      </c>
      <c r="E161" s="9"/>
      <c r="F161" s="45" t="s">
        <v>1341</v>
      </c>
      <c r="G161" s="9" t="s">
        <v>1043</v>
      </c>
      <c r="H161" s="9" t="s">
        <v>1240</v>
      </c>
      <c r="I161" s="9" t="s">
        <v>936</v>
      </c>
      <c r="J161" s="9" t="s">
        <v>1291</v>
      </c>
      <c r="K161" s="9"/>
      <c r="L161" s="9"/>
    </row>
    <row r="162" spans="1:12" s="10" customFormat="1" ht="12">
      <c r="A162" s="20" t="str">
        <f t="shared" si="2"/>
        <v>RESPONSIBLE FOR IMPLEMENTATION</v>
      </c>
      <c r="B162" s="9" t="s">
        <v>1165</v>
      </c>
      <c r="C162" s="9" t="s">
        <v>1186</v>
      </c>
      <c r="D162" s="9" t="s">
        <v>736</v>
      </c>
      <c r="E162" s="9"/>
      <c r="F162" s="45" t="s">
        <v>1342</v>
      </c>
      <c r="G162" s="9" t="s">
        <v>1213</v>
      </c>
      <c r="H162" s="9" t="s">
        <v>1241</v>
      </c>
      <c r="I162" s="9" t="s">
        <v>937</v>
      </c>
      <c r="J162" s="9" t="s">
        <v>1292</v>
      </c>
      <c r="K162" s="9"/>
      <c r="L162" s="9"/>
    </row>
    <row r="163" spans="1:12" s="10" customFormat="1" ht="12">
      <c r="A163" s="20" t="str">
        <f t="shared" si="2"/>
        <v>IMPLEMENTATION SCHEDULE</v>
      </c>
      <c r="B163" s="9" t="s">
        <v>1166</v>
      </c>
      <c r="C163" s="9" t="s">
        <v>1187</v>
      </c>
      <c r="D163" s="9" t="s">
        <v>737</v>
      </c>
      <c r="E163" s="9"/>
      <c r="F163" s="45" t="s">
        <v>1343</v>
      </c>
      <c r="G163" s="9" t="s">
        <v>1214</v>
      </c>
      <c r="H163" s="9" t="s">
        <v>1242</v>
      </c>
      <c r="I163" s="9" t="s">
        <v>938</v>
      </c>
      <c r="J163" s="9" t="s">
        <v>1293</v>
      </c>
      <c r="K163" s="9"/>
      <c r="L163" s="9"/>
    </row>
    <row r="164" spans="1:12" s="10" customFormat="1" ht="12">
      <c r="A164" s="20" t="str">
        <f t="shared" si="2"/>
        <v>Starting year</v>
      </c>
      <c r="B164" s="9" t="s">
        <v>1154</v>
      </c>
      <c r="C164" s="9" t="s">
        <v>1188</v>
      </c>
      <c r="D164" s="9" t="s">
        <v>738</v>
      </c>
      <c r="E164" s="9"/>
      <c r="F164" s="45" t="s">
        <v>1344</v>
      </c>
      <c r="G164" s="9" t="s">
        <v>1215</v>
      </c>
      <c r="H164" s="9" t="s">
        <v>1243</v>
      </c>
      <c r="I164" s="9" t="s">
        <v>939</v>
      </c>
      <c r="J164" s="9" t="s">
        <v>1294</v>
      </c>
      <c r="K164" s="9"/>
      <c r="L164" s="9"/>
    </row>
    <row r="165" spans="1:12" s="10" customFormat="1" ht="12">
      <c r="A165" s="20" t="str">
        <f t="shared" si="2"/>
        <v>Ending year</v>
      </c>
      <c r="B165" s="9" t="s">
        <v>1155</v>
      </c>
      <c r="C165" s="9" t="s">
        <v>1189</v>
      </c>
      <c r="D165" s="9" t="s">
        <v>739</v>
      </c>
      <c r="E165" s="9"/>
      <c r="F165" s="45" t="s">
        <v>1345</v>
      </c>
      <c r="G165" s="9" t="s">
        <v>1216</v>
      </c>
      <c r="H165" s="9" t="s">
        <v>1244</v>
      </c>
      <c r="I165" s="9" t="s">
        <v>940</v>
      </c>
      <c r="J165" s="9" t="s">
        <v>1295</v>
      </c>
      <c r="K165" s="9"/>
      <c r="L165" s="9"/>
    </row>
    <row r="166" spans="1:12" s="10" customFormat="1" ht="24">
      <c r="A166" s="20" t="str">
        <f t="shared" si="2"/>
        <v>ESTIMATED INVESTMENT COSTS [euro]</v>
      </c>
      <c r="B166" s="9" t="s">
        <v>1167</v>
      </c>
      <c r="C166" s="9" t="s">
        <v>1190</v>
      </c>
      <c r="D166" s="9" t="s">
        <v>740</v>
      </c>
      <c r="E166" s="9"/>
      <c r="F166" s="45" t="s">
        <v>1346</v>
      </c>
      <c r="G166" s="9" t="s">
        <v>981</v>
      </c>
      <c r="H166" s="9" t="s">
        <v>1245</v>
      </c>
      <c r="I166" s="9" t="s">
        <v>941</v>
      </c>
      <c r="J166" s="9" t="s">
        <v>1296</v>
      </c>
      <c r="K166" s="9"/>
      <c r="L166" s="9"/>
    </row>
    <row r="167" spans="1:12" s="10" customFormat="1" ht="24">
      <c r="A167" s="20" t="str">
        <f t="shared" si="2"/>
        <v>EXPECTED ENERGY SAVINGS [MWh/year]</v>
      </c>
      <c r="B167" s="9" t="s">
        <v>1168</v>
      </c>
      <c r="C167" s="9" t="s">
        <v>1191</v>
      </c>
      <c r="D167" s="9" t="s">
        <v>741</v>
      </c>
      <c r="E167" s="9"/>
      <c r="F167" s="45" t="s">
        <v>1347</v>
      </c>
      <c r="G167" s="9" t="s">
        <v>1044</v>
      </c>
      <c r="H167" s="9" t="s">
        <v>1246</v>
      </c>
      <c r="I167" s="9" t="s">
        <v>942</v>
      </c>
      <c r="J167" s="9" t="s">
        <v>1297</v>
      </c>
      <c r="K167" s="9"/>
      <c r="L167" s="9"/>
    </row>
    <row r="168" spans="1:12" s="10" customFormat="1" ht="24">
      <c r="A168" s="20" t="str">
        <f t="shared" si="2"/>
        <v>EXPECTED RENEWABLE ENERGY PRODUCTION [MWh/year]</v>
      </c>
      <c r="B168" s="9" t="s">
        <v>1169</v>
      </c>
      <c r="C168" s="9" t="s">
        <v>1192</v>
      </c>
      <c r="D168" s="9" t="s">
        <v>742</v>
      </c>
      <c r="E168" s="9"/>
      <c r="F168" s="45" t="s">
        <v>1348</v>
      </c>
      <c r="G168" s="9" t="s">
        <v>1045</v>
      </c>
      <c r="H168" s="9" t="s">
        <v>1247</v>
      </c>
      <c r="I168" s="9" t="s">
        <v>943</v>
      </c>
      <c r="J168" s="9" t="s">
        <v>1298</v>
      </c>
      <c r="K168" s="9"/>
      <c r="L168" s="9"/>
    </row>
    <row r="169" spans="1:12" s="10" customFormat="1" ht="13.5">
      <c r="A169" s="20" t="str">
        <f t="shared" si="2"/>
        <v>EXPECTED CO2 REDUCTION [ton/year]</v>
      </c>
      <c r="B169" s="9" t="s">
        <v>1170</v>
      </c>
      <c r="C169" s="9" t="s">
        <v>1193</v>
      </c>
      <c r="D169" s="9" t="s">
        <v>743</v>
      </c>
      <c r="E169" s="9"/>
      <c r="F169" s="45" t="s">
        <v>1372</v>
      </c>
      <c r="G169" s="9" t="s">
        <v>1046</v>
      </c>
      <c r="H169" s="9" t="s">
        <v>1248</v>
      </c>
      <c r="I169" s="9" t="s">
        <v>944</v>
      </c>
      <c r="J169" s="9" t="s">
        <v>1299</v>
      </c>
      <c r="K169" s="9"/>
      <c r="L169" s="9"/>
    </row>
    <row r="170" spans="1:12" s="10" customFormat="1" ht="24">
      <c r="A170" s="20" t="str">
        <f t="shared" si="2"/>
        <v>ENERGY SAVINGS TARGET IN 2020 [MWh/year]</v>
      </c>
      <c r="B170" s="9" t="s">
        <v>1171</v>
      </c>
      <c r="C170" s="9" t="s">
        <v>1194</v>
      </c>
      <c r="D170" s="9" t="s">
        <v>744</v>
      </c>
      <c r="E170" s="9"/>
      <c r="F170" s="45" t="s">
        <v>1414</v>
      </c>
      <c r="G170" s="9" t="s">
        <v>1047</v>
      </c>
      <c r="H170" s="9" t="s">
        <v>1249</v>
      </c>
      <c r="I170" s="9" t="s">
        <v>945</v>
      </c>
      <c r="J170" s="9" t="s">
        <v>1300</v>
      </c>
      <c r="K170" s="9"/>
      <c r="L170" s="9"/>
    </row>
    <row r="171" spans="1:12" s="10" customFormat="1" ht="24">
      <c r="A171" s="20" t="str">
        <f t="shared" si="2"/>
        <v>RENEWABLE ENERGY PRODUCTION TARGET IN 2020 [MWh/year]</v>
      </c>
      <c r="B171" s="9" t="s">
        <v>1172</v>
      </c>
      <c r="C171" s="9" t="s">
        <v>1195</v>
      </c>
      <c r="D171" s="9" t="s">
        <v>745</v>
      </c>
      <c r="E171" s="9"/>
      <c r="F171" s="45" t="s">
        <v>1412</v>
      </c>
      <c r="G171" s="9" t="s">
        <v>1048</v>
      </c>
      <c r="H171" s="9" t="s">
        <v>1250</v>
      </c>
      <c r="I171" s="9" t="s">
        <v>946</v>
      </c>
      <c r="J171" s="9" t="s">
        <v>1301</v>
      </c>
      <c r="K171" s="9"/>
      <c r="L171" s="9"/>
    </row>
    <row r="172" spans="1:12" s="10" customFormat="1" ht="25.5">
      <c r="A172" s="20" t="str">
        <f t="shared" si="2"/>
        <v>CO2 REDUCTION TARGET IN 2020 [ton/year]</v>
      </c>
      <c r="B172" s="9" t="s">
        <v>1173</v>
      </c>
      <c r="C172" s="9" t="s">
        <v>1196</v>
      </c>
      <c r="D172" s="9" t="s">
        <v>746</v>
      </c>
      <c r="E172" s="9"/>
      <c r="F172" s="45" t="s">
        <v>1413</v>
      </c>
      <c r="G172" s="9" t="s">
        <v>1049</v>
      </c>
      <c r="H172" s="9" t="s">
        <v>1251</v>
      </c>
      <c r="I172" s="9" t="s">
        <v>947</v>
      </c>
      <c r="J172" s="9" t="s">
        <v>1302</v>
      </c>
      <c r="K172" s="9"/>
      <c r="L172" s="9"/>
    </row>
    <row r="173" spans="1:12" s="10" customFormat="1" ht="24">
      <c r="A173" s="20" t="str">
        <f t="shared" si="2"/>
        <v>SECONDARY ENERGY PRODUCTION AND ENERGY FLUXES</v>
      </c>
      <c r="B173" s="9" t="s">
        <v>1145</v>
      </c>
      <c r="C173" s="9" t="s">
        <v>1146</v>
      </c>
      <c r="D173" s="9" t="s">
        <v>695</v>
      </c>
      <c r="E173" s="9"/>
      <c r="F173" s="45" t="s">
        <v>1383</v>
      </c>
      <c r="G173" s="9" t="s">
        <v>1050</v>
      </c>
      <c r="H173" s="9" t="s">
        <v>1258</v>
      </c>
      <c r="I173" s="9" t="s">
        <v>948</v>
      </c>
      <c r="J173" s="9" t="s">
        <v>1306</v>
      </c>
      <c r="K173" s="9"/>
      <c r="L173" s="9"/>
    </row>
    <row r="174" spans="1:12" s="10" customFormat="1" ht="12">
      <c r="A174" s="20" t="str">
        <f t="shared" si="2"/>
        <v>Electricity (non-renewable)</v>
      </c>
      <c r="B174" s="9" t="s">
        <v>1157</v>
      </c>
      <c r="C174" s="9" t="s">
        <v>1160</v>
      </c>
      <c r="D174" s="9" t="s">
        <v>747</v>
      </c>
      <c r="E174" s="9"/>
      <c r="F174" s="45" t="s">
        <v>1384</v>
      </c>
      <c r="G174" s="9" t="s">
        <v>1051</v>
      </c>
      <c r="H174" s="9" t="s">
        <v>1259</v>
      </c>
      <c r="I174" s="9" t="s">
        <v>949</v>
      </c>
      <c r="J174" s="9" t="s">
        <v>1307</v>
      </c>
      <c r="K174" s="9"/>
      <c r="L174" s="9"/>
    </row>
    <row r="175" spans="1:12" s="10" customFormat="1" ht="12">
      <c r="A175" s="20" t="str">
        <f t="shared" si="2"/>
        <v>Heat (non-renewable)</v>
      </c>
      <c r="B175" s="9" t="s">
        <v>1158</v>
      </c>
      <c r="C175" s="9" t="s">
        <v>1161</v>
      </c>
      <c r="D175" s="9" t="s">
        <v>748</v>
      </c>
      <c r="E175" s="9"/>
      <c r="F175" s="45" t="s">
        <v>1385</v>
      </c>
      <c r="G175" s="9" t="s">
        <v>1052</v>
      </c>
      <c r="H175" s="9" t="s">
        <v>1260</v>
      </c>
      <c r="I175" s="9" t="s">
        <v>950</v>
      </c>
      <c r="J175" s="9" t="s">
        <v>1308</v>
      </c>
      <c r="K175" s="9"/>
      <c r="L175" s="9"/>
    </row>
    <row r="176" spans="1:12" s="10" customFormat="1" ht="12">
      <c r="A176" s="20" t="str">
        <f t="shared" si="2"/>
        <v>Cold (non-renewable)</v>
      </c>
      <c r="B176" s="9" t="s">
        <v>1159</v>
      </c>
      <c r="C176" s="9" t="s">
        <v>1162</v>
      </c>
      <c r="D176" s="9" t="s">
        <v>749</v>
      </c>
      <c r="E176" s="9"/>
      <c r="F176" s="45" t="s">
        <v>1386</v>
      </c>
      <c r="G176" s="9" t="s">
        <v>1053</v>
      </c>
      <c r="H176" s="9" t="s">
        <v>1261</v>
      </c>
      <c r="I176" s="9" t="s">
        <v>951</v>
      </c>
      <c r="J176" s="9" t="s">
        <v>1309</v>
      </c>
      <c r="K176" s="9"/>
      <c r="L176" s="9"/>
    </row>
    <row r="177" spans="1:12" s="10" customFormat="1" ht="12">
      <c r="A177" s="20" t="str">
        <f t="shared" si="2"/>
        <v>Hydro</v>
      </c>
      <c r="B177" s="9" t="s">
        <v>1131</v>
      </c>
      <c r="C177" s="9" t="s">
        <v>1132</v>
      </c>
      <c r="D177" s="9" t="s">
        <v>681</v>
      </c>
      <c r="E177" s="9"/>
      <c r="F177" s="45" t="s">
        <v>1387</v>
      </c>
      <c r="G177" s="9" t="s">
        <v>1221</v>
      </c>
      <c r="H177" s="9" t="s">
        <v>1131</v>
      </c>
      <c r="I177" s="9" t="s">
        <v>884</v>
      </c>
      <c r="J177" s="9" t="s">
        <v>1310</v>
      </c>
      <c r="K177" s="9"/>
      <c r="L177" s="9"/>
    </row>
    <row r="178" spans="1:12" s="10" customFormat="1" ht="12">
      <c r="A178" s="20" t="str">
        <f t="shared" si="2"/>
        <v>Wind</v>
      </c>
      <c r="B178" s="9" t="s">
        <v>1133</v>
      </c>
      <c r="C178" s="9" t="s">
        <v>1134</v>
      </c>
      <c r="D178" s="9" t="s">
        <v>682</v>
      </c>
      <c r="E178" s="9"/>
      <c r="F178" s="45" t="s">
        <v>1388</v>
      </c>
      <c r="G178" s="9" t="s">
        <v>1222</v>
      </c>
      <c r="H178" s="9" t="s">
        <v>1262</v>
      </c>
      <c r="I178" s="9" t="s">
        <v>885</v>
      </c>
      <c r="J178" s="9" t="s">
        <v>1311</v>
      </c>
      <c r="K178" s="9"/>
      <c r="L178" s="9"/>
    </row>
    <row r="179" spans="1:12" s="10" customFormat="1" ht="12">
      <c r="A179" s="20" t="str">
        <f t="shared" si="2"/>
        <v>Solar</v>
      </c>
      <c r="B179" s="9" t="s">
        <v>1135</v>
      </c>
      <c r="C179" s="9" t="s">
        <v>1135</v>
      </c>
      <c r="D179" s="9" t="s">
        <v>1135</v>
      </c>
      <c r="E179" s="9"/>
      <c r="F179" s="45" t="s">
        <v>1389</v>
      </c>
      <c r="G179" s="9" t="s">
        <v>1223</v>
      </c>
      <c r="H179" s="9" t="s">
        <v>1135</v>
      </c>
      <c r="I179" s="9" t="s">
        <v>886</v>
      </c>
      <c r="J179" s="9" t="s">
        <v>1312</v>
      </c>
      <c r="K179" s="9"/>
      <c r="L179" s="9"/>
    </row>
    <row r="180" spans="1:12" s="10" customFormat="1" ht="12">
      <c r="A180" s="20" t="str">
        <f t="shared" si="2"/>
        <v>Geothermal</v>
      </c>
      <c r="B180" s="9" t="s">
        <v>1136</v>
      </c>
      <c r="C180" s="9" t="s">
        <v>1137</v>
      </c>
      <c r="D180" s="9" t="s">
        <v>1137</v>
      </c>
      <c r="E180" s="9"/>
      <c r="F180" s="45" t="s">
        <v>1390</v>
      </c>
      <c r="G180" s="9" t="s">
        <v>1224</v>
      </c>
      <c r="H180" s="9" t="s">
        <v>1263</v>
      </c>
      <c r="I180" s="9" t="s">
        <v>887</v>
      </c>
      <c r="J180" s="9" t="s">
        <v>1313</v>
      </c>
      <c r="K180" s="9"/>
      <c r="L180" s="9"/>
    </row>
    <row r="181" spans="1:12" s="10" customFormat="1" ht="12">
      <c r="A181" s="20" t="str">
        <f t="shared" si="2"/>
        <v>Ocean</v>
      </c>
      <c r="B181" s="9" t="s">
        <v>1138</v>
      </c>
      <c r="C181" s="9" t="s">
        <v>1139</v>
      </c>
      <c r="D181" s="9" t="s">
        <v>683</v>
      </c>
      <c r="E181" s="9"/>
      <c r="F181" s="45" t="s">
        <v>1391</v>
      </c>
      <c r="G181" s="9" t="s">
        <v>1054</v>
      </c>
      <c r="H181" s="9" t="s">
        <v>1138</v>
      </c>
      <c r="I181" s="9" t="s">
        <v>888</v>
      </c>
      <c r="J181" s="9" t="s">
        <v>1314</v>
      </c>
      <c r="K181" s="9"/>
      <c r="L181" s="9"/>
    </row>
    <row r="182" spans="1:12" s="10" customFormat="1" ht="12">
      <c r="A182" s="20" t="str">
        <f t="shared" si="2"/>
        <v>Biomass</v>
      </c>
      <c r="B182" s="9" t="s">
        <v>1140</v>
      </c>
      <c r="C182" s="9" t="s">
        <v>1141</v>
      </c>
      <c r="D182" s="9" t="s">
        <v>684</v>
      </c>
      <c r="E182" s="9"/>
      <c r="F182" s="45" t="s">
        <v>1392</v>
      </c>
      <c r="G182" s="9" t="s">
        <v>1433</v>
      </c>
      <c r="H182" s="9" t="s">
        <v>1264</v>
      </c>
      <c r="I182" s="9" t="s">
        <v>1141</v>
      </c>
      <c r="J182" s="9" t="s">
        <v>1140</v>
      </c>
      <c r="K182" s="9"/>
      <c r="L182" s="9"/>
    </row>
    <row r="183" spans="1:12" s="10" customFormat="1" ht="12">
      <c r="A183" s="20" t="str">
        <f t="shared" si="2"/>
        <v>Urban waste</v>
      </c>
      <c r="B183" s="9" t="s">
        <v>1142</v>
      </c>
      <c r="C183" s="9" t="s">
        <v>1143</v>
      </c>
      <c r="D183" s="9" t="s">
        <v>750</v>
      </c>
      <c r="E183" s="9"/>
      <c r="F183" s="45" t="s">
        <v>1393</v>
      </c>
      <c r="G183" s="9" t="s">
        <v>1225</v>
      </c>
      <c r="H183" s="9" t="s">
        <v>1265</v>
      </c>
      <c r="I183" s="9" t="s">
        <v>889</v>
      </c>
      <c r="J183" s="9" t="s">
        <v>1315</v>
      </c>
      <c r="K183" s="9"/>
      <c r="L183" s="9"/>
    </row>
    <row r="184" spans="1:12" s="10" customFormat="1" ht="12">
      <c r="A184" s="20" t="str">
        <f t="shared" si="2"/>
        <v>Storage</v>
      </c>
      <c r="B184" s="9" t="s">
        <v>1147</v>
      </c>
      <c r="C184" s="9" t="s">
        <v>1148</v>
      </c>
      <c r="D184" s="9" t="s">
        <v>705</v>
      </c>
      <c r="E184" s="9"/>
      <c r="F184" s="45" t="s">
        <v>1394</v>
      </c>
      <c r="G184" s="9" t="s">
        <v>1226</v>
      </c>
      <c r="H184" s="9" t="s">
        <v>1226</v>
      </c>
      <c r="I184" s="9" t="s">
        <v>905</v>
      </c>
      <c r="J184" s="9" t="s">
        <v>1316</v>
      </c>
      <c r="K184" s="9"/>
      <c r="L184" s="9"/>
    </row>
    <row r="185" spans="1:12" s="10" customFormat="1" ht="12">
      <c r="A185" s="20" t="str">
        <f t="shared" si="2"/>
        <v>External connection</v>
      </c>
      <c r="B185" s="9" t="s">
        <v>1149</v>
      </c>
      <c r="C185" s="9" t="s">
        <v>1150</v>
      </c>
      <c r="D185" s="9" t="s">
        <v>708</v>
      </c>
      <c r="E185" s="9"/>
      <c r="F185" s="45" t="s">
        <v>1395</v>
      </c>
      <c r="G185" s="9" t="s">
        <v>1227</v>
      </c>
      <c r="H185" s="9" t="s">
        <v>1266</v>
      </c>
      <c r="I185" s="9" t="s">
        <v>952</v>
      </c>
      <c r="J185" s="9" t="s">
        <v>1317</v>
      </c>
      <c r="K185" s="9"/>
      <c r="L185" s="9"/>
    </row>
    <row r="186" spans="1:12" s="10" customFormat="1" ht="24">
      <c r="A186" s="20" t="str">
        <f t="shared" si="2"/>
        <v>Distribution losses and self-consumption</v>
      </c>
      <c r="B186" s="9" t="s">
        <v>1151</v>
      </c>
      <c r="C186" s="9" t="s">
        <v>1152</v>
      </c>
      <c r="D186" s="9" t="s">
        <v>712</v>
      </c>
      <c r="E186" s="9"/>
      <c r="F186" s="45" t="s">
        <v>1396</v>
      </c>
      <c r="G186" s="9" t="s">
        <v>1434</v>
      </c>
      <c r="H186" s="9" t="s">
        <v>1267</v>
      </c>
      <c r="I186" s="9" t="s">
        <v>912</v>
      </c>
      <c r="J186" s="9" t="s">
        <v>1318</v>
      </c>
      <c r="K186" s="9"/>
      <c r="L186" s="9"/>
    </row>
    <row r="187" spans="1:12" s="10" customFormat="1" ht="12">
      <c r="A187" s="20" t="str">
        <f t="shared" si="2"/>
        <v>LAND USE PLANNING</v>
      </c>
      <c r="B187" s="9" t="s">
        <v>1174</v>
      </c>
      <c r="C187" s="9" t="s">
        <v>1197</v>
      </c>
      <c r="D187" s="9" t="s">
        <v>751</v>
      </c>
      <c r="E187" s="9"/>
      <c r="F187" s="45" t="s">
        <v>1397</v>
      </c>
      <c r="G187" s="9" t="s">
        <v>1055</v>
      </c>
      <c r="H187" s="9" t="s">
        <v>1269</v>
      </c>
      <c r="I187" s="9" t="s">
        <v>953</v>
      </c>
      <c r="J187" s="9" t="s">
        <v>1319</v>
      </c>
      <c r="K187" s="9"/>
      <c r="L187" s="9"/>
    </row>
    <row r="188" spans="1:12" s="10" customFormat="1" ht="12" customHeight="1">
      <c r="A188" s="20" t="str">
        <f t="shared" si="2"/>
        <v>Regional and local strategic planning</v>
      </c>
      <c r="B188" s="9" t="s">
        <v>1175</v>
      </c>
      <c r="C188" s="9" t="s">
        <v>1202</v>
      </c>
      <c r="D188" s="9" t="s">
        <v>752</v>
      </c>
      <c r="E188" s="9"/>
      <c r="F188" s="45" t="s">
        <v>1398</v>
      </c>
      <c r="G188" s="9" t="s">
        <v>1435</v>
      </c>
      <c r="H188" s="9" t="s">
        <v>1270</v>
      </c>
      <c r="I188" s="9" t="s">
        <v>954</v>
      </c>
      <c r="J188" s="9" t="s">
        <v>1320</v>
      </c>
      <c r="K188" s="9"/>
      <c r="L188" s="9"/>
    </row>
    <row r="189" spans="1:12" s="10" customFormat="1" ht="12">
      <c r="A189" s="20" t="str">
        <f t="shared" si="2"/>
        <v>Transports and mobility planning</v>
      </c>
      <c r="B189" s="9" t="s">
        <v>1176</v>
      </c>
      <c r="C189" s="9" t="s">
        <v>1203</v>
      </c>
      <c r="D189" s="9" t="s">
        <v>753</v>
      </c>
      <c r="E189" s="9"/>
      <c r="F189" s="45" t="s">
        <v>1399</v>
      </c>
      <c r="G189" s="9" t="s">
        <v>1228</v>
      </c>
      <c r="H189" s="9" t="s">
        <v>1271</v>
      </c>
      <c r="I189" s="9" t="s">
        <v>955</v>
      </c>
      <c r="J189" s="9" t="s">
        <v>1424</v>
      </c>
      <c r="K189" s="9"/>
      <c r="L189" s="9"/>
    </row>
    <row r="190" spans="1:12" s="10" customFormat="1" ht="12">
      <c r="A190" s="20" t="str">
        <f t="shared" si="2"/>
        <v>Energy infrastructures planning</v>
      </c>
      <c r="B190" s="9" t="s">
        <v>1416</v>
      </c>
      <c r="C190" s="9" t="s">
        <v>606</v>
      </c>
      <c r="D190" s="9" t="s">
        <v>754</v>
      </c>
      <c r="E190" s="9"/>
      <c r="F190" s="45" t="s">
        <v>1</v>
      </c>
      <c r="G190" s="45" t="s">
        <v>1056</v>
      </c>
      <c r="H190" s="9" t="s">
        <v>804</v>
      </c>
      <c r="I190" s="9" t="s">
        <v>956</v>
      </c>
      <c r="J190" s="9" t="s">
        <v>1425</v>
      </c>
      <c r="K190" s="9"/>
      <c r="L190" s="9"/>
    </row>
    <row r="191" spans="1:12" s="10" customFormat="1" ht="24">
      <c r="A191" s="20" t="str">
        <f t="shared" si="2"/>
        <v>Renewable energy land use planning</v>
      </c>
      <c r="B191" s="9" t="s">
        <v>1417</v>
      </c>
      <c r="C191" s="9" t="s">
        <v>1418</v>
      </c>
      <c r="D191" s="9" t="s">
        <v>755</v>
      </c>
      <c r="E191" s="9"/>
      <c r="F191" s="45" t="s">
        <v>2</v>
      </c>
      <c r="G191" s="9" t="s">
        <v>1436</v>
      </c>
      <c r="H191" s="9" t="s">
        <v>805</v>
      </c>
      <c r="I191" s="9" t="s">
        <v>957</v>
      </c>
      <c r="J191" s="9" t="s">
        <v>1426</v>
      </c>
      <c r="K191" s="9"/>
      <c r="L191" s="9"/>
    </row>
    <row r="192" spans="1:12" s="10" customFormat="1" ht="12">
      <c r="A192" s="20" t="str">
        <f t="shared" si="2"/>
        <v>PUBLIC PROCUREMENT OF PRODUCTS AND SERVICES</v>
      </c>
      <c r="B192" s="9" t="s">
        <v>1177</v>
      </c>
      <c r="C192" s="9" t="s">
        <v>1198</v>
      </c>
      <c r="D192" s="9" t="s">
        <v>756</v>
      </c>
      <c r="E192" s="9"/>
      <c r="F192" s="45" t="s">
        <v>1400</v>
      </c>
      <c r="G192" s="9" t="s">
        <v>1057</v>
      </c>
      <c r="H192" s="9" t="s">
        <v>1272</v>
      </c>
      <c r="I192" s="9" t="s">
        <v>958</v>
      </c>
      <c r="J192" s="9" t="s">
        <v>1321</v>
      </c>
      <c r="K192" s="9"/>
      <c r="L192" s="9"/>
    </row>
    <row r="193" spans="1:12" s="10" customFormat="1" ht="12">
      <c r="A193" s="20" t="str">
        <f t="shared" si="2"/>
        <v>Energy efficiency requirements/standards</v>
      </c>
      <c r="B193" s="9" t="s">
        <v>1094</v>
      </c>
      <c r="C193" s="9" t="s">
        <v>1204</v>
      </c>
      <c r="D193" s="9" t="s">
        <v>757</v>
      </c>
      <c r="E193" s="9"/>
      <c r="F193" s="45" t="s">
        <v>1401</v>
      </c>
      <c r="G193" s="9" t="s">
        <v>982</v>
      </c>
      <c r="H193" s="9" t="s">
        <v>6</v>
      </c>
      <c r="I193" s="9" t="s">
        <v>959</v>
      </c>
      <c r="J193" s="9" t="s">
        <v>1322</v>
      </c>
      <c r="K193" s="9"/>
      <c r="L193" s="9"/>
    </row>
    <row r="194" spans="1:12" s="10" customFormat="1" ht="12">
      <c r="A194" s="20" t="str">
        <f t="shared" si="2"/>
        <v>Renewable energy requirements/standards</v>
      </c>
      <c r="B194" s="9" t="s">
        <v>1095</v>
      </c>
      <c r="C194" s="9" t="s">
        <v>1205</v>
      </c>
      <c r="D194" s="9" t="s">
        <v>758</v>
      </c>
      <c r="E194" s="9"/>
      <c r="F194" s="45" t="s">
        <v>1402</v>
      </c>
      <c r="G194" s="9" t="s">
        <v>1058</v>
      </c>
      <c r="H194" s="9" t="s">
        <v>1273</v>
      </c>
      <c r="I194" s="9" t="s">
        <v>960</v>
      </c>
      <c r="J194" s="9" t="s">
        <v>1323</v>
      </c>
      <c r="K194" s="9"/>
      <c r="L194" s="9"/>
    </row>
    <row r="195" spans="1:12" s="10" customFormat="1" ht="12">
      <c r="A195" s="20" t="str">
        <f t="shared" si="2"/>
        <v>CITIZENS AND STAKEHOLDERS</v>
      </c>
      <c r="B195" s="9" t="s">
        <v>1200</v>
      </c>
      <c r="C195" s="9" t="s">
        <v>1199</v>
      </c>
      <c r="D195" s="9" t="s">
        <v>759</v>
      </c>
      <c r="E195" s="9"/>
      <c r="F195" s="45" t="s">
        <v>1403</v>
      </c>
      <c r="G195" s="9" t="s">
        <v>1229</v>
      </c>
      <c r="H195" s="9" t="s">
        <v>1274</v>
      </c>
      <c r="I195" s="9" t="s">
        <v>961</v>
      </c>
      <c r="J195" s="9" t="s">
        <v>1324</v>
      </c>
      <c r="K195" s="9"/>
      <c r="L195" s="9"/>
    </row>
    <row r="196" spans="1:12" s="10" customFormat="1" ht="12">
      <c r="A196" s="20" t="str">
        <f t="shared" si="2"/>
        <v>Advisory services</v>
      </c>
      <c r="B196" s="9" t="s">
        <v>1096</v>
      </c>
      <c r="C196" s="9" t="s">
        <v>1206</v>
      </c>
      <c r="D196" s="9" t="s">
        <v>760</v>
      </c>
      <c r="E196" s="9"/>
      <c r="F196" s="45" t="s">
        <v>1404</v>
      </c>
      <c r="G196" s="9" t="s">
        <v>1230</v>
      </c>
      <c r="H196" s="9" t="s">
        <v>1275</v>
      </c>
      <c r="I196" s="9" t="s">
        <v>962</v>
      </c>
      <c r="J196" s="9" t="s">
        <v>1325</v>
      </c>
      <c r="K196" s="9"/>
      <c r="L196" s="9"/>
    </row>
    <row r="197" spans="1:12" s="10" customFormat="1" ht="12">
      <c r="A197" s="20" t="str">
        <f t="shared" si="2"/>
        <v>Financial support and grants</v>
      </c>
      <c r="B197" s="9" t="s">
        <v>1097</v>
      </c>
      <c r="C197" s="9" t="s">
        <v>1415</v>
      </c>
      <c r="D197" s="9" t="s">
        <v>761</v>
      </c>
      <c r="E197" s="9"/>
      <c r="F197" s="45" t="s">
        <v>1405</v>
      </c>
      <c r="G197" s="9" t="s">
        <v>1231</v>
      </c>
      <c r="H197" s="9" t="s">
        <v>1276</v>
      </c>
      <c r="I197" s="9" t="s">
        <v>963</v>
      </c>
      <c r="J197" s="9" t="s">
        <v>1326</v>
      </c>
      <c r="K197" s="9"/>
      <c r="L197" s="9"/>
    </row>
    <row r="198" spans="1:12" s="10" customFormat="1" ht="12">
      <c r="A198" s="20" t="str">
        <f t="shared" si="2"/>
        <v>Awareness raising and networking</v>
      </c>
      <c r="B198" s="9" t="s">
        <v>1208</v>
      </c>
      <c r="C198" s="9" t="s">
        <v>1207</v>
      </c>
      <c r="D198" s="9" t="s">
        <v>762</v>
      </c>
      <c r="E198" s="9"/>
      <c r="F198" s="45" t="s">
        <v>1406</v>
      </c>
      <c r="G198" s="9" t="s">
        <v>1232</v>
      </c>
      <c r="H198" s="9" t="s">
        <v>1277</v>
      </c>
      <c r="I198" s="9" t="s">
        <v>964</v>
      </c>
      <c r="J198" s="9" t="s">
        <v>1327</v>
      </c>
      <c r="K198" s="9"/>
      <c r="L198" s="9"/>
    </row>
    <row r="199" spans="1:12" s="10" customFormat="1" ht="12">
      <c r="A199" s="20" t="str">
        <f t="shared" si="2"/>
        <v>Training and education</v>
      </c>
      <c r="B199" s="9" t="s">
        <v>1098</v>
      </c>
      <c r="C199" s="9" t="s">
        <v>1209</v>
      </c>
      <c r="D199" s="9" t="s">
        <v>763</v>
      </c>
      <c r="E199" s="9"/>
      <c r="F199" s="45" t="s">
        <v>1407</v>
      </c>
      <c r="G199" s="9" t="s">
        <v>1437</v>
      </c>
      <c r="H199" s="9" t="s">
        <v>1278</v>
      </c>
      <c r="I199" s="9" t="s">
        <v>965</v>
      </c>
      <c r="J199" s="9" t="s">
        <v>1328</v>
      </c>
      <c r="K199" s="9"/>
      <c r="L199" s="9"/>
    </row>
    <row r="200" spans="1:12" s="10" customFormat="1" ht="12">
      <c r="A200" s="20" t="str">
        <f aca="true" t="shared" si="3" ref="A200:A212">IF($A$6=$B$6,B200,"")&amp;IF($A$6=$C$6,C200,"")&amp;IF($A$6=$D$6,D200,"")&amp;IF($A$6=$E$6,E200,"")&amp;IF($A$6=$F$6,F200,"")&amp;IF($A$6=$G$6,G200,"")&amp;IF($A$6=$H$6,H200,"")&amp;IF($A$6=$I$6,I200,"")&amp;IF($A$6=$J$6,J200,"")&amp;IF($A$6=$K$6,K200,"")&amp;IF($A$6=$L$6,L200,"")</f>
        <v>Monitoring</v>
      </c>
      <c r="B200" s="9" t="s">
        <v>1419</v>
      </c>
      <c r="C200" s="9" t="s">
        <v>1420</v>
      </c>
      <c r="D200" s="9" t="s">
        <v>764</v>
      </c>
      <c r="E200" s="9"/>
      <c r="F200" s="45" t="s">
        <v>3</v>
      </c>
      <c r="G200" s="9" t="s">
        <v>1438</v>
      </c>
      <c r="H200" s="9" t="s">
        <v>806</v>
      </c>
      <c r="I200" s="9" t="s">
        <v>966</v>
      </c>
      <c r="J200" s="9" t="s">
        <v>1427</v>
      </c>
      <c r="K200" s="9"/>
      <c r="L200" s="9"/>
    </row>
    <row r="201" spans="1:12" s="10" customFormat="1" ht="12">
      <c r="A201" s="20" t="str">
        <f t="shared" si="3"/>
        <v>Regulamentation</v>
      </c>
      <c r="B201" s="9" t="s">
        <v>1421</v>
      </c>
      <c r="C201" s="9" t="s">
        <v>1422</v>
      </c>
      <c r="D201" s="9" t="s">
        <v>1421</v>
      </c>
      <c r="E201" s="9"/>
      <c r="F201" s="45" t="s">
        <v>4</v>
      </c>
      <c r="G201" s="9" t="s">
        <v>0</v>
      </c>
      <c r="H201" s="9" t="s">
        <v>807</v>
      </c>
      <c r="I201" s="9" t="s">
        <v>967</v>
      </c>
      <c r="J201" s="9" t="s">
        <v>1428</v>
      </c>
      <c r="K201" s="9"/>
      <c r="L201" s="9"/>
    </row>
    <row r="202" spans="1:12" s="10" customFormat="1" ht="12">
      <c r="A202" s="20" t="str">
        <f t="shared" si="3"/>
        <v>OTHER SECTORS (please specify)</v>
      </c>
      <c r="B202" s="9" t="s">
        <v>1178</v>
      </c>
      <c r="C202" s="9" t="s">
        <v>1210</v>
      </c>
      <c r="D202" s="9" t="s">
        <v>765</v>
      </c>
      <c r="E202" s="9"/>
      <c r="F202" s="45" t="s">
        <v>1408</v>
      </c>
      <c r="G202" s="9" t="s">
        <v>1233</v>
      </c>
      <c r="H202" s="9" t="s">
        <v>1279</v>
      </c>
      <c r="I202" s="9" t="s">
        <v>968</v>
      </c>
      <c r="J202" s="9" t="s">
        <v>1329</v>
      </c>
      <c r="K202" s="9"/>
      <c r="L202" s="9"/>
    </row>
    <row r="203" spans="1:12" s="10" customFormat="1" ht="12">
      <c r="A203" s="20" t="str">
        <f t="shared" si="3"/>
        <v>…</v>
      </c>
      <c r="B203" s="9" t="s">
        <v>1108</v>
      </c>
      <c r="C203" s="9" t="s">
        <v>1108</v>
      </c>
      <c r="D203" s="9" t="s">
        <v>1268</v>
      </c>
      <c r="E203" s="9" t="s">
        <v>1108</v>
      </c>
      <c r="F203" s="45" t="s">
        <v>1108</v>
      </c>
      <c r="G203" s="9" t="s">
        <v>1108</v>
      </c>
      <c r="H203" s="9" t="s">
        <v>1268</v>
      </c>
      <c r="I203" s="9" t="s">
        <v>1108</v>
      </c>
      <c r="J203" s="9" t="s">
        <v>1108</v>
      </c>
      <c r="K203" s="9" t="s">
        <v>1108</v>
      </c>
      <c r="L203" s="9" t="s">
        <v>1108</v>
      </c>
    </row>
    <row r="204" spans="1:12" s="10" customFormat="1" ht="12">
      <c r="A204" s="20" t="str">
        <f t="shared" si="3"/>
        <v>…</v>
      </c>
      <c r="B204" s="9" t="s">
        <v>1108</v>
      </c>
      <c r="C204" s="9" t="s">
        <v>1108</v>
      </c>
      <c r="D204" s="9" t="s">
        <v>1268</v>
      </c>
      <c r="E204" s="9" t="s">
        <v>1108</v>
      </c>
      <c r="F204" s="45" t="s">
        <v>1108</v>
      </c>
      <c r="G204" s="9" t="s">
        <v>1108</v>
      </c>
      <c r="H204" s="9" t="s">
        <v>1268</v>
      </c>
      <c r="I204" s="9" t="s">
        <v>1108</v>
      </c>
      <c r="J204" s="9" t="s">
        <v>1108</v>
      </c>
      <c r="K204" s="9" t="s">
        <v>1108</v>
      </c>
      <c r="L204" s="9" t="s">
        <v>1108</v>
      </c>
    </row>
    <row r="205" spans="1:12" s="10" customFormat="1" ht="12">
      <c r="A205" s="20" t="str">
        <f t="shared" si="3"/>
        <v>…</v>
      </c>
      <c r="B205" s="9" t="s">
        <v>1108</v>
      </c>
      <c r="C205" s="9" t="s">
        <v>1108</v>
      </c>
      <c r="D205" s="9" t="s">
        <v>1268</v>
      </c>
      <c r="E205" s="9" t="s">
        <v>1108</v>
      </c>
      <c r="F205" s="45" t="s">
        <v>1108</v>
      </c>
      <c r="G205" s="9" t="s">
        <v>1108</v>
      </c>
      <c r="H205" s="9" t="s">
        <v>1268</v>
      </c>
      <c r="I205" s="9" t="s">
        <v>1108</v>
      </c>
      <c r="J205" s="9" t="s">
        <v>1108</v>
      </c>
      <c r="K205" s="9" t="s">
        <v>1108</v>
      </c>
      <c r="L205" s="9" t="s">
        <v>1108</v>
      </c>
    </row>
    <row r="206" spans="1:12" s="10" customFormat="1" ht="12">
      <c r="A206" s="20" t="str">
        <f t="shared" si="3"/>
        <v>…</v>
      </c>
      <c r="B206" s="9" t="s">
        <v>1108</v>
      </c>
      <c r="C206" s="9" t="s">
        <v>1108</v>
      </c>
      <c r="D206" s="9" t="s">
        <v>1268</v>
      </c>
      <c r="E206" s="9" t="s">
        <v>1108</v>
      </c>
      <c r="F206" s="45" t="s">
        <v>1108</v>
      </c>
      <c r="G206" s="9" t="s">
        <v>1108</v>
      </c>
      <c r="H206" s="9" t="s">
        <v>1268</v>
      </c>
      <c r="I206" s="9" t="s">
        <v>1108</v>
      </c>
      <c r="J206" s="9" t="s">
        <v>1108</v>
      </c>
      <c r="K206" s="9" t="s">
        <v>1108</v>
      </c>
      <c r="L206" s="9" t="s">
        <v>1108</v>
      </c>
    </row>
    <row r="207" spans="1:12" s="10" customFormat="1" ht="12">
      <c r="A207" s="20" t="str">
        <f t="shared" si="3"/>
        <v>…</v>
      </c>
      <c r="B207" s="9" t="s">
        <v>1108</v>
      </c>
      <c r="C207" s="9" t="s">
        <v>1108</v>
      </c>
      <c r="D207" s="9" t="s">
        <v>1268</v>
      </c>
      <c r="E207" s="9" t="s">
        <v>1108</v>
      </c>
      <c r="F207" s="45" t="s">
        <v>1108</v>
      </c>
      <c r="G207" s="9" t="s">
        <v>1108</v>
      </c>
      <c r="H207" s="9" t="s">
        <v>1268</v>
      </c>
      <c r="I207" s="9" t="s">
        <v>1108</v>
      </c>
      <c r="J207" s="9" t="s">
        <v>1108</v>
      </c>
      <c r="K207" s="9" t="s">
        <v>1108</v>
      </c>
      <c r="L207" s="9" t="s">
        <v>1108</v>
      </c>
    </row>
    <row r="208" spans="1:12" s="10" customFormat="1" ht="12">
      <c r="A208" s="20" t="str">
        <f t="shared" si="3"/>
        <v>TOTAL</v>
      </c>
      <c r="B208" s="9" t="s">
        <v>1144</v>
      </c>
      <c r="C208" s="9" t="s">
        <v>1144</v>
      </c>
      <c r="D208" s="9" t="s">
        <v>689</v>
      </c>
      <c r="E208" s="9"/>
      <c r="F208" s="45" t="s">
        <v>1409</v>
      </c>
      <c r="G208" s="9" t="s">
        <v>1144</v>
      </c>
      <c r="H208" s="9" t="s">
        <v>1144</v>
      </c>
      <c r="I208" s="9" t="s">
        <v>893</v>
      </c>
      <c r="J208" s="9" t="s">
        <v>1330</v>
      </c>
      <c r="K208" s="9"/>
      <c r="L208" s="9"/>
    </row>
    <row r="209" spans="1:12" s="10" customFormat="1" ht="12">
      <c r="A209" s="20" t="str">
        <f t="shared" si="3"/>
        <v>WEBSITE</v>
      </c>
      <c r="B209" s="9" t="s">
        <v>445</v>
      </c>
      <c r="C209" s="9" t="s">
        <v>445</v>
      </c>
      <c r="D209" s="9" t="s">
        <v>766</v>
      </c>
      <c r="E209" s="9"/>
      <c r="F209" s="45" t="s">
        <v>546</v>
      </c>
      <c r="G209" s="9" t="s">
        <v>446</v>
      </c>
      <c r="H209" s="9" t="s">
        <v>447</v>
      </c>
      <c r="I209" s="9" t="s">
        <v>969</v>
      </c>
      <c r="J209" s="9" t="s">
        <v>448</v>
      </c>
      <c r="K209" s="9"/>
      <c r="L209" s="9"/>
    </row>
    <row r="210" spans="1:12" s="10" customFormat="1" ht="24">
      <c r="A210" s="20" t="str">
        <f t="shared" si="3"/>
        <v>Direct link to the webpage dedicated to ISEAP (if any)</v>
      </c>
      <c r="B210" s="9" t="s">
        <v>1183</v>
      </c>
      <c r="C210" s="9" t="s">
        <v>1201</v>
      </c>
      <c r="D210" s="9" t="s">
        <v>767</v>
      </c>
      <c r="E210" s="9"/>
      <c r="F210" s="45" t="s">
        <v>1410</v>
      </c>
      <c r="G210" s="9" t="s">
        <v>1059</v>
      </c>
      <c r="H210" s="9" t="s">
        <v>1280</v>
      </c>
      <c r="I210" s="9" t="s">
        <v>970</v>
      </c>
      <c r="J210" s="9" t="s">
        <v>1331</v>
      </c>
      <c r="K210" s="9"/>
      <c r="L210" s="9"/>
    </row>
    <row r="211" spans="1:12" s="10" customFormat="1" ht="84">
      <c r="A211" s="20" t="str">
        <f t="shared" si="3"/>
        <v>DISCLAIMER: The sole responsibility for the content of this document lies with the authors. It does not necessarily reflect the opinion of the European Communities. The European Commission is not responsible for any use that may be made of the information contained therein.</v>
      </c>
      <c r="B211" s="9" t="s">
        <v>427</v>
      </c>
      <c r="C211" s="9" t="s">
        <v>426</v>
      </c>
      <c r="D211" s="215" t="s">
        <v>768</v>
      </c>
      <c r="E211" s="9"/>
      <c r="F211" s="45" t="s">
        <v>1411</v>
      </c>
      <c r="G211" s="9" t="s">
        <v>1060</v>
      </c>
      <c r="H211" s="9" t="s">
        <v>1281</v>
      </c>
      <c r="I211" s="9" t="s">
        <v>971</v>
      </c>
      <c r="J211" s="9" t="s">
        <v>1332</v>
      </c>
      <c r="K211" s="9"/>
      <c r="L211" s="9"/>
    </row>
    <row r="212" spans="1:12" s="10" customFormat="1" ht="12">
      <c r="A212" s="20">
        <f t="shared" si="3"/>
      </c>
      <c r="B212" s="9"/>
      <c r="C212" s="9"/>
      <c r="D212" s="9"/>
      <c r="E212" s="9"/>
      <c r="F212" s="9"/>
      <c r="G212" s="9"/>
      <c r="H212" s="9"/>
      <c r="I212" s="9" t="s">
        <v>817</v>
      </c>
      <c r="J212" s="9"/>
      <c r="K212" s="9"/>
      <c r="L212" s="9"/>
    </row>
  </sheetData>
  <sheetProtection/>
  <mergeCells count="2">
    <mergeCell ref="A1:L1"/>
    <mergeCell ref="A2:B2"/>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2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10"/>
  <sheetViews>
    <sheetView showGridLines="0" showZeros="0" zoomScale="70" zoomScaleNormal="70" zoomScalePageLayoutView="0" workbookViewId="0" topLeftCell="A1">
      <selection activeCell="A10" sqref="A10:B10"/>
    </sheetView>
  </sheetViews>
  <sheetFormatPr defaultColWidth="11.421875" defaultRowHeight="15"/>
  <cols>
    <col min="1" max="1" width="24.421875" style="55" customWidth="1"/>
    <col min="2" max="2" width="28.28125" style="56" customWidth="1"/>
    <col min="3" max="3" width="8.8515625" style="55" bestFit="1" customWidth="1"/>
    <col min="4" max="4" width="8.28125" style="55" bestFit="1" customWidth="1"/>
    <col min="5" max="5" width="11.00390625" style="55" bestFit="1" customWidth="1"/>
    <col min="6" max="6" width="7.57421875" style="55" customWidth="1"/>
    <col min="7" max="7" width="13.57421875" style="55" bestFit="1" customWidth="1"/>
    <col min="8" max="8" width="6.7109375" style="55" bestFit="1" customWidth="1"/>
    <col min="9" max="9" width="2.57421875" style="55" hidden="1" customWidth="1"/>
    <col min="10" max="10" width="7.8515625" style="55" bestFit="1" customWidth="1"/>
    <col min="11" max="11" width="6.7109375" style="55" bestFit="1" customWidth="1"/>
    <col min="12" max="12" width="7.28125" style="55" bestFit="1" customWidth="1"/>
    <col min="13" max="13" width="14.00390625" style="55" bestFit="1" customWidth="1"/>
    <col min="14" max="14" width="8.28125" style="55" bestFit="1" customWidth="1"/>
    <col min="15" max="15" width="11.00390625" style="55" bestFit="1" customWidth="1"/>
    <col min="16" max="17" width="14.421875" style="55" customWidth="1"/>
    <col min="18" max="18" width="2.57421875" style="55" hidden="1" customWidth="1"/>
    <col min="19" max="19" width="14.140625" style="55" customWidth="1"/>
    <col min="20" max="20" width="13.8515625" style="55" customWidth="1"/>
    <col min="21" max="21" width="2.00390625" style="55" hidden="1" customWidth="1"/>
    <col min="22" max="22" width="16.28125" style="55" hidden="1" customWidth="1"/>
    <col min="23" max="23" width="14.421875" style="55" customWidth="1"/>
    <col min="24" max="25" width="11.421875" style="55" customWidth="1"/>
    <col min="26" max="26" width="12.7109375" style="55" customWidth="1"/>
    <col min="27" max="16384" width="11.421875" style="55" customWidth="1"/>
  </cols>
  <sheetData>
    <row r="1" spans="1:20" s="21" customFormat="1" ht="116.25" customHeight="1">
      <c r="A1" s="87"/>
      <c r="B1" s="271" t="str">
        <f>Translation!$A$31</f>
        <v>Island  Sustainable Energy Action Plan (ISEAP)</v>
      </c>
      <c r="C1" s="271"/>
      <c r="D1" s="271"/>
      <c r="E1" s="271"/>
      <c r="F1" s="271"/>
      <c r="G1" s="271"/>
      <c r="H1" s="271"/>
      <c r="I1" s="271"/>
      <c r="J1" s="271"/>
      <c r="K1" s="271"/>
      <c r="L1" s="271"/>
      <c r="M1" s="271"/>
      <c r="N1" s="271"/>
      <c r="O1" s="271"/>
      <c r="P1" s="271"/>
      <c r="Q1" s="271"/>
      <c r="R1" s="271"/>
      <c r="S1" s="271"/>
      <c r="T1" s="271"/>
    </row>
    <row r="2" spans="1:20" s="21" customFormat="1" ht="28.5" customHeight="1">
      <c r="A2" s="272" t="s">
        <v>428</v>
      </c>
      <c r="B2" s="272"/>
      <c r="C2" s="272"/>
      <c r="D2" s="120"/>
      <c r="E2" s="120"/>
      <c r="F2" s="120"/>
      <c r="G2" s="120"/>
      <c r="H2" s="120"/>
      <c r="I2" s="120"/>
      <c r="J2" s="120"/>
      <c r="K2" s="120"/>
      <c r="L2" s="120"/>
      <c r="M2" s="120"/>
      <c r="N2" s="120"/>
      <c r="O2" s="120"/>
      <c r="P2" s="120"/>
      <c r="Q2" s="120"/>
      <c r="R2" s="120"/>
      <c r="S2" s="120"/>
      <c r="T2" s="120"/>
    </row>
    <row r="3" ht="30.75" customHeight="1"/>
    <row r="4" spans="1:20" s="173" customFormat="1" ht="36">
      <c r="A4" s="172" t="str">
        <f>Translation!A149</f>
        <v>CO2 EMISSION FACTORS</v>
      </c>
      <c r="B4" s="172"/>
      <c r="T4" s="174" t="str">
        <f>'Start here'!G8</f>
        <v>[t CO2/MWh]</v>
      </c>
    </row>
    <row r="5" spans="1:22" ht="15" customHeight="1">
      <c r="A5" s="276"/>
      <c r="B5" s="276"/>
      <c r="C5" s="275" t="str">
        <f>Translation!A98</f>
        <v>Fossil fuels</v>
      </c>
      <c r="D5" s="275"/>
      <c r="E5" s="275"/>
      <c r="F5" s="275"/>
      <c r="G5" s="275"/>
      <c r="H5" s="275"/>
      <c r="I5" s="275"/>
      <c r="J5" s="275" t="str">
        <f>Translation!A107</f>
        <v>Renewable energy sources</v>
      </c>
      <c r="K5" s="275"/>
      <c r="L5" s="275"/>
      <c r="M5" s="275"/>
      <c r="N5" s="275"/>
      <c r="O5" s="275"/>
      <c r="P5" s="275"/>
      <c r="Q5" s="275"/>
      <c r="R5" s="275"/>
      <c r="S5" s="276" t="str">
        <f>Translation!A123</f>
        <v>Electricity</v>
      </c>
      <c r="T5" s="276"/>
      <c r="U5" s="175"/>
      <c r="V5" s="273" t="s">
        <v>138</v>
      </c>
    </row>
    <row r="6" spans="1:22" ht="49.5" customHeight="1">
      <c r="A6" s="276"/>
      <c r="B6" s="276"/>
      <c r="C6" s="112" t="str">
        <f>Translation!A99</f>
        <v>Fueloil</v>
      </c>
      <c r="D6" s="112" t="str">
        <f>Translation!A100</f>
        <v>Diesel</v>
      </c>
      <c r="E6" s="112" t="str">
        <f>Translation!A101</f>
        <v>Gasoline</v>
      </c>
      <c r="F6" s="112" t="str">
        <f>Translation!A102</f>
        <v>LPG</v>
      </c>
      <c r="G6" s="112" t="str">
        <f>Translation!A103</f>
        <v>Natural gas</v>
      </c>
      <c r="H6" s="112" t="str">
        <f>Translation!A104</f>
        <v>Coal</v>
      </c>
      <c r="I6" s="176" t="s">
        <v>138</v>
      </c>
      <c r="J6" s="112" t="str">
        <f>Translation!A108</f>
        <v>Hydro</v>
      </c>
      <c r="K6" s="112" t="str">
        <f>Translation!A109</f>
        <v>Wind</v>
      </c>
      <c r="L6" s="112" t="str">
        <f>Translation!A110</f>
        <v>Solar</v>
      </c>
      <c r="M6" s="112" t="str">
        <f>Translation!A111</f>
        <v>Geothermal</v>
      </c>
      <c r="N6" s="112" t="str">
        <f>Translation!A112</f>
        <v>Ocean</v>
      </c>
      <c r="O6" s="112" t="str">
        <f>Translation!A113</f>
        <v>Biomass</v>
      </c>
      <c r="P6" s="112" t="str">
        <f>Translation!A114</f>
        <v>Urban waste</v>
      </c>
      <c r="Q6" s="112" t="str">
        <f>Translation!A115</f>
        <v>Energy recovery</v>
      </c>
      <c r="R6" s="112" t="s">
        <v>138</v>
      </c>
      <c r="S6" s="112" t="str">
        <f>Translation!A144</f>
        <v>Imported electricity (cable)</v>
      </c>
      <c r="T6" s="112" t="str">
        <f>Translation!A145</f>
        <v>Exported electricity (cable)</v>
      </c>
      <c r="U6" s="177" t="s">
        <v>138</v>
      </c>
      <c r="V6" s="274"/>
    </row>
    <row r="7" spans="1:22" s="173" customFormat="1" ht="20.25" customHeight="1">
      <c r="A7" s="279" t="str">
        <f>'Start here'!F7</f>
        <v>IPCC emission factors</v>
      </c>
      <c r="B7" s="280"/>
      <c r="C7" s="204">
        <f aca="true" t="shared" si="0" ref="C7:H7">IF($A7=$A9,C9,C10)</f>
        <v>0.279</v>
      </c>
      <c r="D7" s="204">
        <f t="shared" si="0"/>
        <v>0.267</v>
      </c>
      <c r="E7" s="204">
        <f t="shared" si="0"/>
        <v>0.249</v>
      </c>
      <c r="F7" s="204">
        <f t="shared" si="0"/>
        <v>0.24</v>
      </c>
      <c r="G7" s="204">
        <f t="shared" si="0"/>
        <v>0.202</v>
      </c>
      <c r="H7" s="204">
        <f t="shared" si="0"/>
        <v>0.354</v>
      </c>
      <c r="I7" s="176" t="s">
        <v>138</v>
      </c>
      <c r="J7" s="204">
        <f aca="true" t="shared" si="1" ref="J7:Q7">IF($A7=$A9,J9,J10)</f>
        <v>0</v>
      </c>
      <c r="K7" s="204">
        <f t="shared" si="1"/>
        <v>0</v>
      </c>
      <c r="L7" s="204">
        <f t="shared" si="1"/>
        <v>0</v>
      </c>
      <c r="M7" s="204">
        <f t="shared" si="1"/>
        <v>0</v>
      </c>
      <c r="N7" s="204">
        <f t="shared" si="1"/>
        <v>0</v>
      </c>
      <c r="O7" s="204">
        <f t="shared" si="1"/>
        <v>0</v>
      </c>
      <c r="P7" s="204">
        <f t="shared" si="1"/>
        <v>0.333</v>
      </c>
      <c r="Q7" s="204">
        <f t="shared" si="1"/>
        <v>0</v>
      </c>
      <c r="R7" s="74" t="s">
        <v>138</v>
      </c>
      <c r="S7" s="205">
        <f>IF($A7=$A9,S9,S10)</f>
        <v>0.46</v>
      </c>
      <c r="T7" s="205">
        <f>IF($A7=$A9,T9,T10)</f>
        <v>0.46</v>
      </c>
      <c r="U7" s="179" t="s">
        <v>138</v>
      </c>
      <c r="V7" s="178" t="s">
        <v>138</v>
      </c>
    </row>
    <row r="8" spans="1:2" s="59" customFormat="1" ht="30" customHeight="1">
      <c r="A8" s="54"/>
      <c r="B8" s="54"/>
    </row>
    <row r="9" spans="1:22" s="59" customFormat="1" ht="15">
      <c r="A9" s="277" t="str">
        <f>Translation!A14</f>
        <v>IPCC emission factors</v>
      </c>
      <c r="B9" s="278"/>
      <c r="C9" s="51">
        <v>0.279</v>
      </c>
      <c r="D9" s="51">
        <v>0.267</v>
      </c>
      <c r="E9" s="51">
        <v>0.249</v>
      </c>
      <c r="F9" s="53">
        <v>0.24</v>
      </c>
      <c r="G9" s="53">
        <v>0.202</v>
      </c>
      <c r="H9" s="53">
        <v>0.354</v>
      </c>
      <c r="I9" s="181" t="s">
        <v>138</v>
      </c>
      <c r="J9" s="53">
        <v>0</v>
      </c>
      <c r="K9" s="53">
        <v>0</v>
      </c>
      <c r="L9" s="53">
        <v>0</v>
      </c>
      <c r="M9" s="53">
        <v>0</v>
      </c>
      <c r="N9" s="53">
        <v>0</v>
      </c>
      <c r="O9" s="53">
        <v>0</v>
      </c>
      <c r="P9" s="53">
        <v>0.333</v>
      </c>
      <c r="Q9" s="53">
        <v>0</v>
      </c>
      <c r="R9" s="182" t="s">
        <v>138</v>
      </c>
      <c r="S9" s="52">
        <v>0.46</v>
      </c>
      <c r="T9" s="52">
        <f>S9</f>
        <v>0.46</v>
      </c>
      <c r="U9" s="180" t="s">
        <v>138</v>
      </c>
      <c r="V9" s="178" t="s">
        <v>138</v>
      </c>
    </row>
    <row r="10" spans="1:22" s="59" customFormat="1" ht="15">
      <c r="A10" s="277" t="str">
        <f>Translation!A15</f>
        <v>Life Cicle Analysis (LCA) emission factors</v>
      </c>
      <c r="B10" s="278"/>
      <c r="C10" s="51"/>
      <c r="D10" s="51"/>
      <c r="E10" s="51"/>
      <c r="F10" s="51"/>
      <c r="G10" s="51"/>
      <c r="H10" s="51"/>
      <c r="I10" s="183" t="s">
        <v>138</v>
      </c>
      <c r="J10" s="51"/>
      <c r="K10" s="51"/>
      <c r="L10" s="51"/>
      <c r="M10" s="51"/>
      <c r="N10" s="51"/>
      <c r="O10" s="51"/>
      <c r="P10" s="51"/>
      <c r="Q10" s="51"/>
      <c r="R10" s="184" t="s">
        <v>138</v>
      </c>
      <c r="S10" s="51"/>
      <c r="T10" s="51"/>
      <c r="U10" s="180" t="s">
        <v>138</v>
      </c>
      <c r="V10" s="178" t="s">
        <v>138</v>
      </c>
    </row>
    <row r="11" s="59" customFormat="1" ht="15"/>
  </sheetData>
  <sheetProtection/>
  <mergeCells count="10">
    <mergeCell ref="A10:B10"/>
    <mergeCell ref="A9:B9"/>
    <mergeCell ref="A5:B6"/>
    <mergeCell ref="A7:B7"/>
    <mergeCell ref="B1:T1"/>
    <mergeCell ref="A2:C2"/>
    <mergeCell ref="V5:V6"/>
    <mergeCell ref="C5:I5"/>
    <mergeCell ref="J5:R5"/>
    <mergeCell ref="S5:T5"/>
  </mergeCells>
  <printOptions horizontalCentered="1"/>
  <pageMargins left="0.7086614173228347" right="0.7086614173228347" top="0.7480314960629921" bottom="0.7480314960629921" header="0.31496062992125984" footer="0.31496062992125984"/>
  <pageSetup fitToHeight="1" fitToWidth="1" horizontalDpi="300" verticalDpi="300" orientation="landscape" paperSize="9" scale="60" r:id="rId4"/>
  <drawing r:id="rId3"/>
  <legacyDrawing r:id="rId2"/>
</worksheet>
</file>

<file path=xl/worksheets/sheet4.xml><?xml version="1.0" encoding="utf-8"?>
<worksheet xmlns="http://schemas.openxmlformats.org/spreadsheetml/2006/main" xmlns:r="http://schemas.openxmlformats.org/officeDocument/2006/relationships">
  <sheetPr>
    <tabColor rgb="FF00B050"/>
    <pageSetUpPr fitToPage="1"/>
  </sheetPr>
  <dimension ref="A1:R27"/>
  <sheetViews>
    <sheetView showGridLines="0" showZeros="0" zoomScale="70" zoomScaleNormal="70" zoomScalePageLayoutView="0" workbookViewId="0" topLeftCell="A1">
      <selection activeCell="B11" sqref="B11:R11"/>
    </sheetView>
  </sheetViews>
  <sheetFormatPr defaultColWidth="11.421875" defaultRowHeight="15"/>
  <cols>
    <col min="1" max="1" width="6.7109375" style="124" customWidth="1"/>
    <col min="2" max="2" width="56.140625" style="124" customWidth="1"/>
    <col min="3" max="3" width="13.00390625" style="124" customWidth="1"/>
    <col min="4" max="4" width="18.57421875" style="124" customWidth="1"/>
    <col min="5" max="5" width="12.421875" style="124" customWidth="1"/>
    <col min="6" max="6" width="7.7109375" style="124" customWidth="1"/>
    <col min="7" max="7" width="12.421875" style="124" customWidth="1"/>
    <col min="8" max="8" width="10.140625" style="124" customWidth="1"/>
    <col min="9" max="9" width="9.57421875" style="124" customWidth="1"/>
    <col min="10" max="10" width="13.421875" style="124" customWidth="1"/>
    <col min="11" max="11" width="8.57421875" style="124" customWidth="1"/>
    <col min="12" max="12" width="13.421875" style="124" customWidth="1"/>
    <col min="13" max="13" width="9.7109375" style="124" customWidth="1"/>
    <col min="14" max="14" width="11.28125" style="124" customWidth="1"/>
    <col min="15" max="15" width="10.421875" style="124" customWidth="1"/>
    <col min="16" max="16" width="11.421875" style="124" customWidth="1"/>
    <col min="17" max="18" width="12.57421875" style="124" customWidth="1"/>
    <col min="19" max="16384" width="11.421875" style="124" customWidth="1"/>
  </cols>
  <sheetData>
    <row r="1" spans="1:18" s="21" customFormat="1" ht="116.25" customHeight="1">
      <c r="A1" s="271" t="str">
        <f>Translation!$A$31</f>
        <v>Island  Sustainable Energy Action Plan (ISEAP)</v>
      </c>
      <c r="B1" s="271"/>
      <c r="C1" s="271"/>
      <c r="D1" s="271"/>
      <c r="E1" s="271"/>
      <c r="F1" s="271"/>
      <c r="G1" s="271"/>
      <c r="H1" s="271"/>
      <c r="I1" s="271"/>
      <c r="J1" s="271"/>
      <c r="K1" s="271"/>
      <c r="L1" s="271"/>
      <c r="M1" s="271"/>
      <c r="N1" s="271"/>
      <c r="O1" s="271"/>
      <c r="P1" s="271"/>
      <c r="Q1" s="271"/>
      <c r="R1" s="271"/>
    </row>
    <row r="2" spans="1:18" s="21" customFormat="1" ht="28.5" customHeight="1">
      <c r="A2" s="81"/>
      <c r="B2" s="82" t="s">
        <v>24</v>
      </c>
      <c r="C2" s="81"/>
      <c r="D2" s="81"/>
      <c r="E2" s="81"/>
      <c r="F2" s="83" t="str">
        <f>Translation!$A$10</f>
        <v>Island</v>
      </c>
      <c r="G2" s="84" t="str">
        <f>'Start here'!$B$5</f>
        <v>Hiiumaa</v>
      </c>
      <c r="H2" s="86"/>
      <c r="I2" s="86"/>
      <c r="J2" s="86"/>
      <c r="K2" s="86"/>
      <c r="L2" s="86"/>
      <c r="M2" s="86"/>
      <c r="N2" s="86"/>
      <c r="O2" s="86"/>
      <c r="P2" s="86"/>
      <c r="Q2" s="86"/>
      <c r="R2" s="86"/>
    </row>
    <row r="3" spans="1:17" ht="28.5" customHeight="1">
      <c r="A3" s="258"/>
      <c r="B3" s="258"/>
      <c r="C3" s="258"/>
      <c r="D3" s="258"/>
      <c r="E3" s="258"/>
      <c r="F3" s="258"/>
      <c r="G3" s="258"/>
      <c r="H3" s="258"/>
      <c r="I3" s="258"/>
      <c r="J3" s="125"/>
      <c r="K3" s="125"/>
      <c r="Q3" s="27"/>
    </row>
    <row r="4" spans="1:18" ht="39.75" customHeight="1">
      <c r="A4" s="259" t="str">
        <f>Translation!A33</f>
        <v>OVERALL STRATEGY</v>
      </c>
      <c r="B4" s="259"/>
      <c r="C4" s="259"/>
      <c r="D4" s="259"/>
      <c r="E4" s="259"/>
      <c r="F4" s="259"/>
      <c r="G4" s="259"/>
      <c r="H4" s="259"/>
      <c r="I4" s="259"/>
      <c r="J4" s="259"/>
      <c r="K4" s="259"/>
      <c r="L4" s="259"/>
      <c r="M4" s="259"/>
      <c r="N4" s="259"/>
      <c r="O4" s="259"/>
      <c r="P4" s="259"/>
      <c r="Q4" s="259"/>
      <c r="R4" s="259"/>
    </row>
    <row r="5" spans="1:18" ht="21">
      <c r="A5" s="135"/>
      <c r="B5" s="144"/>
      <c r="C5" s="145"/>
      <c r="D5" s="146"/>
      <c r="E5" s="146"/>
      <c r="F5" s="146"/>
      <c r="G5" s="147"/>
      <c r="H5" s="148"/>
      <c r="P5" s="260" t="str">
        <f>Translation!$A$53</f>
        <v>Mandatory fields</v>
      </c>
      <c r="Q5" s="260"/>
      <c r="R5" s="260"/>
    </row>
    <row r="6" spans="1:12" ht="31.5">
      <c r="A6" s="165"/>
      <c r="B6" s="166"/>
      <c r="J6" s="167" t="str">
        <f>Translation!A36</f>
        <v>Absolute reduction</v>
      </c>
      <c r="L6" s="167" t="str">
        <f>Translation!A38</f>
        <v>Per capita reduction</v>
      </c>
    </row>
    <row r="7" spans="1:15" s="169" customFormat="1" ht="36">
      <c r="A7" s="117" t="s">
        <v>1089</v>
      </c>
      <c r="B7" s="262" t="str">
        <f>Translation!A34</f>
        <v>OVERALL CO2 EMISSION REDUCTION TARGET BY 2020</v>
      </c>
      <c r="C7" s="262"/>
      <c r="D7" s="262"/>
      <c r="E7" s="262"/>
      <c r="F7" s="262"/>
      <c r="G7" s="262"/>
      <c r="H7" s="262"/>
      <c r="I7" s="263"/>
      <c r="J7" s="121">
        <v>0.2</v>
      </c>
      <c r="K7" s="168" t="str">
        <f>Translation!A37</f>
        <v>or</v>
      </c>
      <c r="L7" s="121">
        <v>0.2</v>
      </c>
      <c r="M7" s="261" t="str">
        <f>Translation!$A$35</f>
        <v>Please select the corresponding box</v>
      </c>
      <c r="N7" s="261"/>
      <c r="O7" s="261"/>
    </row>
    <row r="8" spans="1:12" s="218" customFormat="1" ht="12">
      <c r="A8" s="216"/>
      <c r="B8" s="217"/>
      <c r="D8" s="219"/>
      <c r="E8" s="219"/>
      <c r="F8" s="219"/>
      <c r="G8" s="220"/>
      <c r="H8" s="221"/>
      <c r="J8" s="222">
        <f>IF('Baseline emission inventory'!Y137&gt;0,('Baseline emission inventory'!Y137-'Plan emission inventory in 2020'!Y137)/'Baseline emission inventory'!Y137,0)</f>
        <v>1.0148561288582432</v>
      </c>
      <c r="L8" s="222">
        <f>IF(AND('Baseline emission inventory'!C8&gt;0,'Plan emission inventory in 2020'!C8&gt;0,'Baseline emission inventory'!Y137&gt;0),('Baseline emission inventory'!Y137/'Baseline emission inventory'!C8-'Plan emission inventory in 2020'!Y137/'Plan emission inventory in 2020'!C8)/('Baseline emission inventory'!Y137/'Baseline emission inventory'!C8),0)</f>
        <v>1.0148561288582432</v>
      </c>
    </row>
    <row r="9" spans="1:8" ht="33.75" customHeight="1">
      <c r="A9" s="135"/>
      <c r="B9" s="144"/>
      <c r="C9" s="145"/>
      <c r="D9" s="146"/>
      <c r="E9" s="146"/>
      <c r="F9" s="146"/>
      <c r="G9" s="147"/>
      <c r="H9" s="148"/>
    </row>
    <row r="10" spans="1:14" s="192" customFormat="1" ht="36">
      <c r="A10" s="117" t="s">
        <v>1093</v>
      </c>
      <c r="B10" s="105" t="str">
        <f>Translation!A40</f>
        <v>LONG-TERM VISION OF YOUR LOCAL AUTHORITY (please include priority areas, main trends and challenges)</v>
      </c>
      <c r="C10" s="189"/>
      <c r="D10" s="190"/>
      <c r="E10" s="189"/>
      <c r="F10" s="190"/>
      <c r="G10" s="189"/>
      <c r="H10" s="191"/>
      <c r="I10" s="191"/>
      <c r="J10" s="191"/>
      <c r="K10" s="191"/>
      <c r="L10" s="191"/>
      <c r="M10" s="191"/>
      <c r="N10" s="191"/>
    </row>
    <row r="11" spans="2:18" ht="219" customHeight="1">
      <c r="B11" s="282" t="s">
        <v>1352</v>
      </c>
      <c r="C11" s="283"/>
      <c r="D11" s="283"/>
      <c r="E11" s="283"/>
      <c r="F11" s="283"/>
      <c r="G11" s="283"/>
      <c r="H11" s="283"/>
      <c r="I11" s="283"/>
      <c r="J11" s="283"/>
      <c r="K11" s="283"/>
      <c r="L11" s="283"/>
      <c r="M11" s="283"/>
      <c r="N11" s="283"/>
      <c r="O11" s="283"/>
      <c r="P11" s="283"/>
      <c r="Q11" s="283"/>
      <c r="R11" s="284"/>
    </row>
    <row r="12" spans="2:9" ht="13.5" customHeight="1">
      <c r="B12" s="170"/>
      <c r="C12" s="170"/>
      <c r="D12" s="170"/>
      <c r="E12" s="170"/>
      <c r="F12" s="170"/>
      <c r="G12" s="170"/>
      <c r="H12" s="170"/>
      <c r="I12" s="170"/>
    </row>
    <row r="13" spans="1:14" s="192" customFormat="1" ht="36">
      <c r="A13" s="117" t="s">
        <v>1099</v>
      </c>
      <c r="B13" s="105" t="str">
        <f>Translation!A41</f>
        <v>ORGANISATIONAL AND FINANCIAL ASPECTS</v>
      </c>
      <c r="C13" s="191"/>
      <c r="D13" s="191"/>
      <c r="E13" s="191"/>
      <c r="F13" s="191"/>
      <c r="G13" s="191"/>
      <c r="H13" s="191"/>
      <c r="I13" s="191"/>
      <c r="J13" s="191"/>
      <c r="K13" s="191"/>
      <c r="L13" s="191"/>
      <c r="M13" s="191"/>
      <c r="N13" s="191"/>
    </row>
    <row r="14" spans="1:18" ht="134.25" customHeight="1">
      <c r="A14" s="151"/>
      <c r="B14" s="285" t="str">
        <f>Translation!A42</f>
        <v>Coordination and organisational structures created/assigned</v>
      </c>
      <c r="C14" s="286"/>
      <c r="D14" s="282" t="s">
        <v>573</v>
      </c>
      <c r="E14" s="287"/>
      <c r="F14" s="287"/>
      <c r="G14" s="287"/>
      <c r="H14" s="287"/>
      <c r="I14" s="287"/>
      <c r="J14" s="287"/>
      <c r="K14" s="287"/>
      <c r="L14" s="287"/>
      <c r="M14" s="287"/>
      <c r="N14" s="287"/>
      <c r="O14" s="287"/>
      <c r="P14" s="287"/>
      <c r="Q14" s="287"/>
      <c r="R14" s="288"/>
    </row>
    <row r="15" spans="1:18" ht="104.25" customHeight="1">
      <c r="A15" s="151"/>
      <c r="B15" s="285" t="str">
        <f>Translation!A43</f>
        <v>Staff capacity allocated</v>
      </c>
      <c r="C15" s="286"/>
      <c r="D15" s="282" t="s">
        <v>574</v>
      </c>
      <c r="E15" s="287"/>
      <c r="F15" s="287"/>
      <c r="G15" s="287"/>
      <c r="H15" s="287"/>
      <c r="I15" s="287"/>
      <c r="J15" s="287"/>
      <c r="K15" s="287"/>
      <c r="L15" s="287"/>
      <c r="M15" s="287"/>
      <c r="N15" s="287"/>
      <c r="O15" s="287"/>
      <c r="P15" s="287"/>
      <c r="Q15" s="287"/>
      <c r="R15" s="288"/>
    </row>
    <row r="16" spans="1:18" ht="145.5" customHeight="1">
      <c r="A16" s="151"/>
      <c r="B16" s="285" t="str">
        <f>Translation!A44</f>
        <v>Involvement of stakeholders and citizens</v>
      </c>
      <c r="C16" s="286"/>
      <c r="D16" s="282" t="s">
        <v>560</v>
      </c>
      <c r="E16" s="287"/>
      <c r="F16" s="287"/>
      <c r="G16" s="287"/>
      <c r="H16" s="287"/>
      <c r="I16" s="287"/>
      <c r="J16" s="287"/>
      <c r="K16" s="287"/>
      <c r="L16" s="287"/>
      <c r="M16" s="287"/>
      <c r="N16" s="287"/>
      <c r="O16" s="287"/>
      <c r="P16" s="287"/>
      <c r="Q16" s="287"/>
      <c r="R16" s="288"/>
    </row>
    <row r="17" spans="1:18" ht="38.25" customHeight="1">
      <c r="A17" s="151"/>
      <c r="B17" s="285" t="str">
        <f>Translation!A45</f>
        <v>Overall estimated budget</v>
      </c>
      <c r="C17" s="286"/>
      <c r="D17" s="282" t="s">
        <v>1370</v>
      </c>
      <c r="E17" s="287"/>
      <c r="F17" s="287"/>
      <c r="G17" s="287"/>
      <c r="H17" s="287"/>
      <c r="I17" s="287"/>
      <c r="J17" s="287"/>
      <c r="K17" s="287"/>
      <c r="L17" s="287"/>
      <c r="M17" s="287"/>
      <c r="N17" s="287"/>
      <c r="O17" s="287"/>
      <c r="P17" s="287"/>
      <c r="Q17" s="287"/>
      <c r="R17" s="288"/>
    </row>
    <row r="18" spans="1:18" ht="216" customHeight="1">
      <c r="A18" s="151"/>
      <c r="B18" s="285" t="str">
        <f>Translation!A46</f>
        <v>Foreseen financing sources for the investments within your action plan</v>
      </c>
      <c r="C18" s="286"/>
      <c r="D18" s="282" t="s">
        <v>575</v>
      </c>
      <c r="E18" s="287"/>
      <c r="F18" s="287"/>
      <c r="G18" s="287"/>
      <c r="H18" s="287"/>
      <c r="I18" s="287"/>
      <c r="J18" s="287"/>
      <c r="K18" s="287"/>
      <c r="L18" s="287"/>
      <c r="M18" s="287"/>
      <c r="N18" s="287"/>
      <c r="O18" s="287"/>
      <c r="P18" s="287"/>
      <c r="Q18" s="287"/>
      <c r="R18" s="288"/>
    </row>
    <row r="19" spans="1:18" ht="141" customHeight="1">
      <c r="A19" s="151"/>
      <c r="B19" s="285" t="str">
        <f>Translation!A47</f>
        <v>Planned measures for monitoring and follow up</v>
      </c>
      <c r="C19" s="286"/>
      <c r="D19" s="282" t="s">
        <v>559</v>
      </c>
      <c r="E19" s="287"/>
      <c r="F19" s="287"/>
      <c r="G19" s="287"/>
      <c r="H19" s="287"/>
      <c r="I19" s="287"/>
      <c r="J19" s="287"/>
      <c r="K19" s="287"/>
      <c r="L19" s="287"/>
      <c r="M19" s="287"/>
      <c r="N19" s="287"/>
      <c r="O19" s="287"/>
      <c r="P19" s="287"/>
      <c r="Q19" s="287"/>
      <c r="R19" s="288"/>
    </row>
    <row r="20" spans="1:9" ht="23.25" customHeight="1">
      <c r="A20" s="151"/>
      <c r="B20" s="170"/>
      <c r="C20" s="170"/>
      <c r="D20" s="170"/>
      <c r="E20" s="170"/>
      <c r="F20" s="170"/>
      <c r="G20" s="170"/>
      <c r="H20" s="170"/>
      <c r="I20" s="170"/>
    </row>
    <row r="21" spans="1:18" ht="23.25">
      <c r="A21" s="151"/>
      <c r="B21" s="264" t="str">
        <f>Translation!A48</f>
        <v>Go to the next sheet dedicated to your Baseline Emission Inventory </v>
      </c>
      <c r="C21" s="254"/>
      <c r="D21" s="254"/>
      <c r="E21" s="254"/>
      <c r="F21" s="254"/>
      <c r="G21" s="254"/>
      <c r="H21" s="254"/>
      <c r="I21" s="254"/>
      <c r="J21" s="254"/>
      <c r="K21" s="254"/>
      <c r="L21" s="254"/>
      <c r="M21" s="254"/>
      <c r="N21" s="254"/>
      <c r="O21" s="254"/>
      <c r="P21" s="254"/>
      <c r="Q21" s="254"/>
      <c r="R21" s="254"/>
    </row>
    <row r="22" spans="1:9" ht="13.5" customHeight="1">
      <c r="A22" s="151"/>
      <c r="B22" s="170"/>
      <c r="C22" s="170"/>
      <c r="D22" s="170"/>
      <c r="E22" s="170"/>
      <c r="F22" s="170"/>
      <c r="G22" s="170"/>
      <c r="H22" s="170"/>
      <c r="I22" s="170"/>
    </row>
    <row r="23" spans="2:18" s="21" customFormat="1" ht="12.75" customHeight="1">
      <c r="B23" s="281" t="str">
        <f>Translation!$A$211</f>
        <v>DISCLAIMER: The sole responsibility for the content of this document lies with the authors. It does not necessarily reflect the opinion of the European Communities. The European Commission is not responsible for any use that may be made of the information contained therein.</v>
      </c>
      <c r="C23" s="281"/>
      <c r="D23" s="281"/>
      <c r="E23" s="281"/>
      <c r="F23" s="281"/>
      <c r="G23" s="281"/>
      <c r="H23" s="281"/>
      <c r="I23" s="281"/>
      <c r="J23" s="281"/>
      <c r="K23" s="281"/>
      <c r="L23" s="281"/>
      <c r="M23" s="281"/>
      <c r="N23" s="281"/>
      <c r="O23" s="281"/>
      <c r="P23" s="281"/>
      <c r="Q23" s="281"/>
      <c r="R23" s="281"/>
    </row>
    <row r="24" spans="2:18" s="21" customFormat="1" ht="12.75" customHeight="1">
      <c r="B24" s="281"/>
      <c r="C24" s="281"/>
      <c r="D24" s="281"/>
      <c r="E24" s="281"/>
      <c r="F24" s="281"/>
      <c r="G24" s="281"/>
      <c r="H24" s="281"/>
      <c r="I24" s="281"/>
      <c r="J24" s="281"/>
      <c r="K24" s="281"/>
      <c r="L24" s="281"/>
      <c r="M24" s="281"/>
      <c r="N24" s="281"/>
      <c r="O24" s="281"/>
      <c r="P24" s="281"/>
      <c r="Q24" s="281"/>
      <c r="R24" s="281"/>
    </row>
    <row r="25" spans="2:18" s="21" customFormat="1" ht="12.75" customHeight="1">
      <c r="B25" s="281"/>
      <c r="C25" s="281"/>
      <c r="D25" s="281"/>
      <c r="E25" s="281"/>
      <c r="F25" s="281"/>
      <c r="G25" s="281"/>
      <c r="H25" s="281"/>
      <c r="I25" s="281"/>
      <c r="J25" s="281"/>
      <c r="K25" s="281"/>
      <c r="L25" s="281"/>
      <c r="M25" s="281"/>
      <c r="N25" s="281"/>
      <c r="O25" s="281"/>
      <c r="P25" s="281"/>
      <c r="Q25" s="281"/>
      <c r="R25" s="281"/>
    </row>
    <row r="27" spans="2:15" s="171" customFormat="1" ht="15.75">
      <c r="B27" s="265"/>
      <c r="C27" s="265"/>
      <c r="D27" s="265"/>
      <c r="E27" s="265"/>
      <c r="F27" s="265"/>
      <c r="G27" s="265"/>
      <c r="H27" s="265"/>
      <c r="I27" s="265"/>
      <c r="J27" s="265"/>
      <c r="K27" s="265"/>
      <c r="L27" s="265"/>
      <c r="M27" s="265"/>
      <c r="N27" s="265"/>
      <c r="O27" s="265"/>
    </row>
  </sheetData>
  <sheetProtection/>
  <mergeCells count="22">
    <mergeCell ref="M7:O7"/>
    <mergeCell ref="B7:I7"/>
    <mergeCell ref="D19:R19"/>
    <mergeCell ref="B21:R21"/>
    <mergeCell ref="D16:R16"/>
    <mergeCell ref="D15:R15"/>
    <mergeCell ref="B27:O27"/>
    <mergeCell ref="A1:R1"/>
    <mergeCell ref="B17:C17"/>
    <mergeCell ref="D17:R17"/>
    <mergeCell ref="B18:C18"/>
    <mergeCell ref="D18:R18"/>
    <mergeCell ref="A3:I3"/>
    <mergeCell ref="A4:R4"/>
    <mergeCell ref="P5:R5"/>
    <mergeCell ref="B16:C16"/>
    <mergeCell ref="B23:R25"/>
    <mergeCell ref="B11:R11"/>
    <mergeCell ref="B14:C14"/>
    <mergeCell ref="D14:R14"/>
    <mergeCell ref="B15:C15"/>
    <mergeCell ref="B19:C19"/>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53" r:id="rId2"/>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F144"/>
  <sheetViews>
    <sheetView showGridLines="0" showZeros="0" zoomScale="60" zoomScaleNormal="60" zoomScalePageLayoutView="0" workbookViewId="0" topLeftCell="A16">
      <selection activeCell="C8" sqref="C8:D8"/>
    </sheetView>
  </sheetViews>
  <sheetFormatPr defaultColWidth="11.421875" defaultRowHeight="15"/>
  <cols>
    <col min="1" max="1" width="6.7109375" style="124" customWidth="1"/>
    <col min="2" max="2" width="56.140625" style="124" customWidth="1"/>
    <col min="3" max="3" width="13.57421875" style="124" customWidth="1"/>
    <col min="4" max="4" width="12.7109375" style="124" customWidth="1"/>
    <col min="5" max="5" width="11.57421875" style="124" customWidth="1"/>
    <col min="6" max="6" width="11.140625" style="124" customWidth="1"/>
    <col min="7" max="7" width="11.28125" style="124" customWidth="1"/>
    <col min="8" max="8" width="11.140625" style="124" customWidth="1"/>
    <col min="9" max="9" width="12.421875" style="124" customWidth="1"/>
    <col min="10" max="10" width="10.7109375" style="124" customWidth="1"/>
    <col min="11" max="11" width="12.00390625" style="124" customWidth="1"/>
    <col min="12" max="12" width="10.00390625" style="124" customWidth="1"/>
    <col min="13" max="13" width="15.00390625" style="124" customWidth="1"/>
    <col min="14" max="14" width="11.28125" style="124" customWidth="1"/>
    <col min="15" max="16" width="11.421875" style="124" customWidth="1"/>
    <col min="17" max="17" width="14.421875" style="124" customWidth="1"/>
    <col min="18" max="18" width="12.57421875" style="124" customWidth="1"/>
    <col min="19" max="19" width="13.7109375" style="124" customWidth="1"/>
    <col min="20" max="20" width="14.7109375" style="124" customWidth="1"/>
    <col min="21" max="21" width="17.8515625" style="124" customWidth="1"/>
    <col min="22" max="22" width="11.421875" style="124" customWidth="1"/>
    <col min="23" max="23" width="17.28125" style="124" customWidth="1"/>
    <col min="24" max="24" width="19.421875" style="124" customWidth="1"/>
    <col min="25" max="25" width="14.140625" style="124" customWidth="1"/>
    <col min="26" max="26" width="14.00390625" style="124" customWidth="1"/>
    <col min="27" max="27" width="17.8515625" style="124" customWidth="1"/>
    <col min="28" max="28" width="16.00390625" style="124" customWidth="1"/>
    <col min="29" max="29" width="11.421875" style="124" customWidth="1"/>
    <col min="30" max="30" width="16.57421875" style="124" customWidth="1"/>
    <col min="31" max="16384" width="11.421875" style="124" customWidth="1"/>
  </cols>
  <sheetData>
    <row r="1" spans="1:21" s="21" customFormat="1" ht="116.25" customHeight="1">
      <c r="A1" s="271" t="str">
        <f>Translation!$A$31</f>
        <v>Island  Sustainable Energy Action Plan (ISEAP)</v>
      </c>
      <c r="B1" s="271"/>
      <c r="C1" s="271"/>
      <c r="D1" s="271"/>
      <c r="E1" s="271"/>
      <c r="F1" s="271"/>
      <c r="G1" s="271"/>
      <c r="H1" s="271"/>
      <c r="I1" s="271"/>
      <c r="J1" s="271"/>
      <c r="K1" s="271"/>
      <c r="L1" s="271"/>
      <c r="M1" s="271"/>
      <c r="N1" s="271"/>
      <c r="O1" s="271"/>
      <c r="P1" s="271"/>
      <c r="Q1" s="271"/>
      <c r="R1" s="271"/>
      <c r="S1" s="271"/>
      <c r="T1" s="271"/>
      <c r="U1" s="271"/>
    </row>
    <row r="2" spans="1:21" s="21" customFormat="1" ht="28.5" customHeight="1">
      <c r="A2" s="81"/>
      <c r="B2" s="82" t="s">
        <v>24</v>
      </c>
      <c r="C2" s="81"/>
      <c r="D2" s="81"/>
      <c r="E2" s="81"/>
      <c r="F2" s="85"/>
      <c r="G2" s="85"/>
      <c r="H2" s="86"/>
      <c r="I2" s="83" t="str">
        <f>Translation!$A$10</f>
        <v>Island</v>
      </c>
      <c r="J2" s="84" t="str">
        <f>'Start here'!$B$5</f>
        <v>Hiiumaa</v>
      </c>
      <c r="K2" s="86"/>
      <c r="L2" s="86"/>
      <c r="M2" s="86"/>
      <c r="N2" s="86"/>
      <c r="O2" s="86"/>
      <c r="P2" s="86"/>
      <c r="Q2" s="86"/>
      <c r="R2" s="158"/>
      <c r="S2" s="160"/>
      <c r="T2" s="83" t="str">
        <f>Translation!$A$51</f>
        <v>Inventory year</v>
      </c>
      <c r="U2" s="159">
        <f>'Start here'!$B$6</f>
        <v>2009</v>
      </c>
    </row>
    <row r="3" spans="1:20" ht="28.5" customHeight="1">
      <c r="A3" s="123"/>
      <c r="D3" s="123"/>
      <c r="E3" s="123"/>
      <c r="F3" s="123"/>
      <c r="G3" s="123"/>
      <c r="H3" s="123"/>
      <c r="I3" s="123"/>
      <c r="J3" s="125"/>
      <c r="K3" s="125"/>
      <c r="T3" s="27"/>
    </row>
    <row r="4" spans="1:30" ht="46.5" customHeight="1">
      <c r="A4" s="259" t="str">
        <f>Translation!A49</f>
        <v>BASELINE EMISSION INVENTORY</v>
      </c>
      <c r="B4" s="259"/>
      <c r="C4" s="259"/>
      <c r="D4" s="259"/>
      <c r="E4" s="259"/>
      <c r="F4" s="259"/>
      <c r="G4" s="259"/>
      <c r="H4" s="259"/>
      <c r="I4" s="259"/>
      <c r="J4" s="259"/>
      <c r="K4" s="259"/>
      <c r="L4" s="259"/>
      <c r="M4" s="259"/>
      <c r="N4" s="259"/>
      <c r="O4" s="259"/>
      <c r="P4" s="259"/>
      <c r="Q4" s="259"/>
      <c r="R4" s="259"/>
      <c r="S4" s="259"/>
      <c r="T4" s="259"/>
      <c r="U4" s="259"/>
      <c r="V4" s="206"/>
      <c r="W4" s="206"/>
      <c r="X4" s="206"/>
      <c r="Y4" s="206"/>
      <c r="Z4" s="206"/>
      <c r="AA4" s="206"/>
      <c r="AB4" s="206"/>
      <c r="AC4" s="206"/>
      <c r="AD4" s="206"/>
    </row>
    <row r="5" spans="1:14" ht="13.5" customHeight="1">
      <c r="A5" s="127"/>
      <c r="B5" s="128"/>
      <c r="C5" s="129"/>
      <c r="D5" s="129"/>
      <c r="E5" s="129"/>
      <c r="F5" s="129"/>
      <c r="G5" s="129"/>
      <c r="H5" s="129"/>
      <c r="I5" s="129"/>
      <c r="J5" s="129"/>
      <c r="K5" s="130"/>
      <c r="L5" s="130"/>
      <c r="M5" s="130"/>
      <c r="N5" s="130"/>
    </row>
    <row r="6" spans="1:21" ht="18.75" customHeight="1">
      <c r="A6" s="135"/>
      <c r="B6" s="144"/>
      <c r="C6" s="145"/>
      <c r="D6" s="146"/>
      <c r="E6" s="146"/>
      <c r="F6" s="146"/>
      <c r="G6" s="147"/>
      <c r="H6" s="148"/>
      <c r="S6" s="260" t="str">
        <f>Translation!$A$53</f>
        <v>Mandatory fields</v>
      </c>
      <c r="T6" s="260"/>
      <c r="U6" s="260"/>
    </row>
    <row r="7" spans="1:12" s="133" customFormat="1" ht="36">
      <c r="A7" s="131" t="s">
        <v>1089</v>
      </c>
      <c r="B7" s="132" t="str">
        <f>Translation!A50</f>
        <v>GENERAL DATA</v>
      </c>
      <c r="L7" s="134"/>
    </row>
    <row r="8" spans="1:7" ht="21">
      <c r="A8" s="135"/>
      <c r="B8" s="137" t="str">
        <f>Translation!A52</f>
        <v>Number of inhabitants</v>
      </c>
      <c r="C8" s="326">
        <v>10000</v>
      </c>
      <c r="D8" s="327"/>
      <c r="E8" s="161" t="str">
        <f>"("&amp;U2&amp;")"</f>
        <v>(2009)</v>
      </c>
      <c r="F8" s="138"/>
      <c r="G8" s="139"/>
    </row>
    <row r="9" spans="1:11" ht="11.25" customHeight="1">
      <c r="A9" s="135"/>
      <c r="B9" s="138"/>
      <c r="C9" s="138"/>
      <c r="D9" s="138"/>
      <c r="E9" s="136"/>
      <c r="F9" s="136"/>
      <c r="G9" s="136"/>
      <c r="H9" s="140"/>
      <c r="I9" s="138"/>
      <c r="J9" s="139"/>
      <c r="K9" s="141"/>
    </row>
    <row r="10" spans="1:11" ht="21">
      <c r="A10" s="142"/>
      <c r="B10" s="136" t="str">
        <f>Translation!A13</f>
        <v>CO2 calculation method</v>
      </c>
      <c r="C10" s="328" t="str">
        <f>'Start here'!F7</f>
        <v>IPCC emission factors</v>
      </c>
      <c r="D10" s="328"/>
      <c r="E10" s="328"/>
      <c r="F10" s="328"/>
      <c r="G10" s="328"/>
      <c r="H10" s="328"/>
      <c r="I10" s="328"/>
      <c r="J10" s="328"/>
      <c r="K10" s="143"/>
    </row>
    <row r="11" spans="1:18" ht="17.25" customHeight="1">
      <c r="A11" s="126"/>
      <c r="B11" s="126"/>
      <c r="C11" s="126"/>
      <c r="D11" s="126"/>
      <c r="E11" s="126"/>
      <c r="F11" s="126"/>
      <c r="G11" s="126"/>
      <c r="H11" s="126"/>
      <c r="I11" s="126"/>
      <c r="J11" s="126"/>
      <c r="K11" s="126"/>
      <c r="L11" s="126"/>
      <c r="M11" s="126"/>
      <c r="N11" s="126"/>
      <c r="O11" s="126"/>
      <c r="P11" s="126"/>
      <c r="Q11" s="126"/>
      <c r="R11" s="126"/>
    </row>
    <row r="12" spans="1:14" s="133" customFormat="1" ht="36">
      <c r="A12" s="131" t="s">
        <v>1093</v>
      </c>
      <c r="B12" s="132" t="str">
        <f>Translation!A54</f>
        <v>RESULTS OF ENERGY BALANCE</v>
      </c>
      <c r="C12" s="131"/>
      <c r="D12" s="132"/>
      <c r="E12" s="131"/>
      <c r="F12" s="132"/>
      <c r="G12" s="131"/>
      <c r="H12" s="132"/>
      <c r="I12" s="131"/>
      <c r="J12" s="132"/>
      <c r="K12" s="149"/>
      <c r="L12" s="149"/>
      <c r="M12" s="149"/>
      <c r="N12" s="149"/>
    </row>
    <row r="13" spans="2:21" s="90" customFormat="1" ht="31.5">
      <c r="B13" s="91" t="str">
        <f>Translation!A55</f>
        <v>FINAL ENERGY DEMAND</v>
      </c>
      <c r="C13" s="91"/>
      <c r="D13" s="91"/>
      <c r="E13" s="91"/>
      <c r="F13" s="91"/>
      <c r="G13" s="91"/>
      <c r="H13" s="91"/>
      <c r="I13" s="91"/>
      <c r="J13" s="91"/>
      <c r="K13" s="91"/>
      <c r="L13" s="91"/>
      <c r="M13" s="91"/>
      <c r="N13" s="91"/>
      <c r="O13" s="91"/>
      <c r="P13" s="91"/>
      <c r="Q13" s="91"/>
      <c r="R13" s="91"/>
      <c r="S13" s="91"/>
      <c r="T13" s="91"/>
      <c r="U13" s="92" t="str">
        <f>Translation!$A$21</f>
        <v>[MWh]</v>
      </c>
    </row>
    <row r="14" spans="2:21" s="55" customFormat="1" ht="32.25" customHeight="1">
      <c r="B14" s="292" t="str">
        <f>Translation!A56</f>
        <v>DEMAND SECTOR</v>
      </c>
      <c r="C14" s="294" t="str">
        <f>Translation!A93</f>
        <v>ENERGY FOR FINAL USE</v>
      </c>
      <c r="D14" s="295"/>
      <c r="E14" s="295"/>
      <c r="F14" s="295"/>
      <c r="G14" s="295"/>
      <c r="H14" s="295"/>
      <c r="I14" s="295"/>
      <c r="J14" s="295"/>
      <c r="K14" s="295"/>
      <c r="L14" s="295"/>
      <c r="M14" s="295"/>
      <c r="N14" s="295"/>
      <c r="O14" s="295"/>
      <c r="P14" s="295"/>
      <c r="Q14" s="295"/>
      <c r="R14" s="295"/>
      <c r="S14" s="295"/>
      <c r="T14" s="295"/>
      <c r="U14" s="296"/>
    </row>
    <row r="15" spans="2:21" s="55" customFormat="1" ht="18" customHeight="1">
      <c r="B15" s="293"/>
      <c r="C15" s="294" t="str">
        <f>Translation!A94</f>
        <v>Centralized energy services</v>
      </c>
      <c r="D15" s="295"/>
      <c r="E15" s="295"/>
      <c r="F15" s="296"/>
      <c r="G15" s="294" t="str">
        <f>Translation!A98</f>
        <v>Fossil fuels</v>
      </c>
      <c r="H15" s="295"/>
      <c r="I15" s="295"/>
      <c r="J15" s="295"/>
      <c r="K15" s="295"/>
      <c r="L15" s="295"/>
      <c r="M15" s="296"/>
      <c r="N15" s="294" t="str">
        <f>Translation!A105</f>
        <v>Renewable energy sources (excluding electricity and heat sold to public networks)</v>
      </c>
      <c r="O15" s="295"/>
      <c r="P15" s="295"/>
      <c r="Q15" s="295"/>
      <c r="R15" s="295"/>
      <c r="S15" s="295"/>
      <c r="T15" s="296"/>
      <c r="U15" s="292" t="str">
        <f>Translation!A118</f>
        <v>TOTAL</v>
      </c>
    </row>
    <row r="16" spans="2:21" s="66" customFormat="1" ht="67.5" customHeight="1">
      <c r="B16" s="65" t="str">
        <f>Translation!A58</f>
        <v>Sector description</v>
      </c>
      <c r="C16" s="116" t="str">
        <f>Translation!A95</f>
        <v>Electricity from public grid</v>
      </c>
      <c r="D16" s="116" t="str">
        <f>Translation!A96</f>
        <v>Heat from district heating</v>
      </c>
      <c r="E16" s="116" t="str">
        <f>Translation!A97</f>
        <v>Cold from district cooling</v>
      </c>
      <c r="F16" s="116" t="str">
        <f>Translation!A116</f>
        <v>Subtotal</v>
      </c>
      <c r="G16" s="116" t="str">
        <f>Translation!A99</f>
        <v>Fueloil</v>
      </c>
      <c r="H16" s="116" t="str">
        <f>Translation!A100</f>
        <v>Diesel</v>
      </c>
      <c r="I16" s="116" t="str">
        <f>Translation!A101</f>
        <v>Gasoline</v>
      </c>
      <c r="J16" s="116" t="str">
        <f>Translation!A102</f>
        <v>LPG</v>
      </c>
      <c r="K16" s="116" t="str">
        <f>Translation!A103</f>
        <v>Natural gas</v>
      </c>
      <c r="L16" s="116" t="str">
        <f>Translation!A104</f>
        <v>Coal</v>
      </c>
      <c r="M16" s="116" t="str">
        <f>Translation!A116</f>
        <v>Subtotal</v>
      </c>
      <c r="N16" s="116" t="str">
        <f>Translation!A108</f>
        <v>Hydro</v>
      </c>
      <c r="O16" s="116" t="str">
        <f>Translation!A109</f>
        <v>Wind</v>
      </c>
      <c r="P16" s="116" t="str">
        <f>Translation!A110</f>
        <v>Solar</v>
      </c>
      <c r="Q16" s="116" t="str">
        <f>Translation!A111</f>
        <v>Geothermal</v>
      </c>
      <c r="R16" s="116" t="str">
        <f>Translation!A112</f>
        <v>Ocean</v>
      </c>
      <c r="S16" s="116" t="str">
        <f>Translation!A113</f>
        <v>Biomass</v>
      </c>
      <c r="T16" s="116" t="str">
        <f>Translation!A116</f>
        <v>Subtotal</v>
      </c>
      <c r="U16" s="293"/>
    </row>
    <row r="17" spans="1:21" s="21" customFormat="1" ht="15.75">
      <c r="A17" s="22"/>
      <c r="B17" s="70" t="str">
        <f>Translation!A59</f>
        <v>RESIDENTIAL</v>
      </c>
      <c r="C17" s="122">
        <f>SUM(C18:C26)</f>
        <v>17206</v>
      </c>
      <c r="D17" s="122">
        <f>SUM(D18:D26)</f>
        <v>4380</v>
      </c>
      <c r="E17" s="122">
        <f>SUM(E18:E26)</f>
        <v>0</v>
      </c>
      <c r="F17" s="68">
        <f aca="true" t="shared" si="0" ref="F17:F52">SUM(C17:E17)</f>
        <v>21586</v>
      </c>
      <c r="G17" s="122">
        <f aca="true" t="shared" si="1" ref="G17:L17">SUM(G18:G26)</f>
        <v>469</v>
      </c>
      <c r="H17" s="122">
        <f t="shared" si="1"/>
        <v>0</v>
      </c>
      <c r="I17" s="122">
        <f t="shared" si="1"/>
        <v>0</v>
      </c>
      <c r="J17" s="122">
        <f t="shared" si="1"/>
        <v>12</v>
      </c>
      <c r="K17" s="122">
        <f t="shared" si="1"/>
        <v>0</v>
      </c>
      <c r="L17" s="122">
        <f t="shared" si="1"/>
        <v>0</v>
      </c>
      <c r="M17" s="68">
        <f aca="true" t="shared" si="2" ref="M17:M52">SUM(G17:L17)</f>
        <v>481</v>
      </c>
      <c r="N17" s="122">
        <f aca="true" t="shared" si="3" ref="N17:S17">SUM(N18:N26)</f>
        <v>0</v>
      </c>
      <c r="O17" s="122">
        <f t="shared" si="3"/>
        <v>0</v>
      </c>
      <c r="P17" s="122">
        <f t="shared" si="3"/>
        <v>0</v>
      </c>
      <c r="Q17" s="122">
        <f t="shared" si="3"/>
        <v>0</v>
      </c>
      <c r="R17" s="122">
        <f t="shared" si="3"/>
        <v>0</v>
      </c>
      <c r="S17" s="122">
        <f t="shared" si="3"/>
        <v>45550</v>
      </c>
      <c r="T17" s="68">
        <f>SUM(N17:S17)</f>
        <v>45550</v>
      </c>
      <c r="U17" s="68">
        <f>F17+M17+T17</f>
        <v>67617</v>
      </c>
    </row>
    <row r="18" spans="1:21" s="21" customFormat="1" ht="15.75">
      <c r="A18" s="22"/>
      <c r="B18" s="196" t="str">
        <f>Translation!A60</f>
        <v>Domestic uses</v>
      </c>
      <c r="C18" s="156">
        <v>17206</v>
      </c>
      <c r="D18" s="156">
        <v>4380</v>
      </c>
      <c r="E18" s="156"/>
      <c r="F18" s="68">
        <f t="shared" si="0"/>
        <v>21586</v>
      </c>
      <c r="G18" s="156">
        <v>469</v>
      </c>
      <c r="H18" s="156">
        <v>0</v>
      </c>
      <c r="I18" s="156">
        <v>0</v>
      </c>
      <c r="J18" s="156">
        <v>12</v>
      </c>
      <c r="K18" s="156"/>
      <c r="L18" s="156"/>
      <c r="M18" s="68">
        <f t="shared" si="2"/>
        <v>481</v>
      </c>
      <c r="N18" s="156"/>
      <c r="O18" s="156"/>
      <c r="P18" s="156"/>
      <c r="Q18" s="156"/>
      <c r="R18" s="156"/>
      <c r="S18" s="156">
        <v>45550</v>
      </c>
      <c r="T18" s="68">
        <f aca="true" t="shared" si="4" ref="T18:T52">SUM(N18:S18)</f>
        <v>45550</v>
      </c>
      <c r="U18" s="68">
        <f aca="true" t="shared" si="5" ref="U18:U52">F18+M18+T18</f>
        <v>67617</v>
      </c>
    </row>
    <row r="19" spans="1:21" s="21" customFormat="1" ht="15.75" hidden="1">
      <c r="A19" s="22"/>
      <c r="B19" s="196">
        <f>Translation!A61</f>
      </c>
      <c r="C19" s="156"/>
      <c r="D19" s="156"/>
      <c r="E19" s="156"/>
      <c r="F19" s="68">
        <f t="shared" si="0"/>
        <v>0</v>
      </c>
      <c r="G19" s="156"/>
      <c r="H19" s="156"/>
      <c r="I19" s="156"/>
      <c r="J19" s="156"/>
      <c r="K19" s="156"/>
      <c r="L19" s="156"/>
      <c r="M19" s="68">
        <f t="shared" si="2"/>
        <v>0</v>
      </c>
      <c r="N19" s="156"/>
      <c r="O19" s="156"/>
      <c r="P19" s="156"/>
      <c r="Q19" s="156"/>
      <c r="R19" s="156"/>
      <c r="S19" s="156"/>
      <c r="T19" s="68">
        <f t="shared" si="4"/>
        <v>0</v>
      </c>
      <c r="U19" s="68">
        <f t="shared" si="5"/>
        <v>0</v>
      </c>
    </row>
    <row r="20" spans="1:21" s="21" customFormat="1" ht="15.75" hidden="1">
      <c r="A20" s="22"/>
      <c r="B20" s="196">
        <f>Translation!A62</f>
      </c>
      <c r="C20" s="156"/>
      <c r="D20" s="156"/>
      <c r="E20" s="156"/>
      <c r="F20" s="68">
        <f t="shared" si="0"/>
        <v>0</v>
      </c>
      <c r="G20" s="156"/>
      <c r="H20" s="156"/>
      <c r="I20" s="156"/>
      <c r="J20" s="156"/>
      <c r="K20" s="156"/>
      <c r="L20" s="156"/>
      <c r="M20" s="68">
        <f t="shared" si="2"/>
        <v>0</v>
      </c>
      <c r="N20" s="156"/>
      <c r="O20" s="156"/>
      <c r="P20" s="156"/>
      <c r="Q20" s="156"/>
      <c r="R20" s="156"/>
      <c r="S20" s="156"/>
      <c r="T20" s="68">
        <f t="shared" si="4"/>
        <v>0</v>
      </c>
      <c r="U20" s="68">
        <f t="shared" si="5"/>
        <v>0</v>
      </c>
    </row>
    <row r="21" spans="1:21" s="21" customFormat="1" ht="15.75" hidden="1">
      <c r="A21" s="22"/>
      <c r="B21" s="196">
        <f>Translation!A63</f>
      </c>
      <c r="C21" s="156"/>
      <c r="D21" s="156"/>
      <c r="E21" s="156"/>
      <c r="F21" s="68">
        <f t="shared" si="0"/>
        <v>0</v>
      </c>
      <c r="G21" s="156"/>
      <c r="H21" s="156"/>
      <c r="I21" s="156"/>
      <c r="J21" s="156"/>
      <c r="K21" s="156"/>
      <c r="L21" s="156"/>
      <c r="M21" s="68">
        <f t="shared" si="2"/>
        <v>0</v>
      </c>
      <c r="N21" s="156"/>
      <c r="O21" s="156"/>
      <c r="P21" s="156"/>
      <c r="Q21" s="156"/>
      <c r="R21" s="156"/>
      <c r="S21" s="156"/>
      <c r="T21" s="68">
        <f t="shared" si="4"/>
        <v>0</v>
      </c>
      <c r="U21" s="68">
        <f t="shared" si="5"/>
        <v>0</v>
      </c>
    </row>
    <row r="22" spans="1:21" s="21" customFormat="1" ht="15.75" hidden="1">
      <c r="A22" s="22"/>
      <c r="B22" s="196">
        <f>Translation!A64</f>
      </c>
      <c r="C22" s="156"/>
      <c r="D22" s="156"/>
      <c r="E22" s="156"/>
      <c r="F22" s="68">
        <f t="shared" si="0"/>
        <v>0</v>
      </c>
      <c r="G22" s="156"/>
      <c r="H22" s="156"/>
      <c r="I22" s="156"/>
      <c r="J22" s="156"/>
      <c r="K22" s="156"/>
      <c r="L22" s="156"/>
      <c r="M22" s="68">
        <f t="shared" si="2"/>
        <v>0</v>
      </c>
      <c r="N22" s="156"/>
      <c r="O22" s="156"/>
      <c r="P22" s="156"/>
      <c r="Q22" s="156"/>
      <c r="R22" s="156"/>
      <c r="S22" s="156"/>
      <c r="T22" s="68">
        <f t="shared" si="4"/>
        <v>0</v>
      </c>
      <c r="U22" s="68">
        <f t="shared" si="5"/>
        <v>0</v>
      </c>
    </row>
    <row r="23" spans="1:21" s="21" customFormat="1" ht="15.75" hidden="1">
      <c r="A23" s="22"/>
      <c r="B23" s="196">
        <f>Translation!A65</f>
      </c>
      <c r="C23" s="156"/>
      <c r="D23" s="156"/>
      <c r="E23" s="156"/>
      <c r="F23" s="68">
        <f t="shared" si="0"/>
        <v>0</v>
      </c>
      <c r="G23" s="156"/>
      <c r="H23" s="156"/>
      <c r="I23" s="156"/>
      <c r="J23" s="156"/>
      <c r="K23" s="156"/>
      <c r="L23" s="156"/>
      <c r="M23" s="68">
        <f t="shared" si="2"/>
        <v>0</v>
      </c>
      <c r="N23" s="156"/>
      <c r="O23" s="156"/>
      <c r="P23" s="156"/>
      <c r="Q23" s="156"/>
      <c r="R23" s="156"/>
      <c r="S23" s="156"/>
      <c r="T23" s="68">
        <f t="shared" si="4"/>
        <v>0</v>
      </c>
      <c r="U23" s="68">
        <f t="shared" si="5"/>
        <v>0</v>
      </c>
    </row>
    <row r="24" spans="1:21" s="21" customFormat="1" ht="15.75" hidden="1">
      <c r="A24" s="22"/>
      <c r="B24" s="196">
        <f>Translation!A66</f>
      </c>
      <c r="C24" s="156"/>
      <c r="D24" s="156"/>
      <c r="E24" s="156"/>
      <c r="F24" s="68">
        <f t="shared" si="0"/>
        <v>0</v>
      </c>
      <c r="G24" s="156"/>
      <c r="H24" s="156"/>
      <c r="I24" s="156"/>
      <c r="J24" s="156"/>
      <c r="K24" s="156"/>
      <c r="L24" s="156"/>
      <c r="M24" s="68">
        <f t="shared" si="2"/>
        <v>0</v>
      </c>
      <c r="N24" s="156"/>
      <c r="O24" s="156"/>
      <c r="P24" s="156"/>
      <c r="Q24" s="156"/>
      <c r="R24" s="156"/>
      <c r="S24" s="156"/>
      <c r="T24" s="68">
        <f t="shared" si="4"/>
        <v>0</v>
      </c>
      <c r="U24" s="68">
        <f t="shared" si="5"/>
        <v>0</v>
      </c>
    </row>
    <row r="25" spans="1:21" s="21" customFormat="1" ht="15.75" hidden="1">
      <c r="A25" s="22"/>
      <c r="B25" s="196">
        <f>Translation!A67</f>
      </c>
      <c r="C25" s="156"/>
      <c r="D25" s="156"/>
      <c r="E25" s="156"/>
      <c r="F25" s="68">
        <f t="shared" si="0"/>
        <v>0</v>
      </c>
      <c r="G25" s="156"/>
      <c r="H25" s="156"/>
      <c r="I25" s="156"/>
      <c r="J25" s="156"/>
      <c r="K25" s="156"/>
      <c r="L25" s="156"/>
      <c r="M25" s="68">
        <f t="shared" si="2"/>
        <v>0</v>
      </c>
      <c r="N25" s="156"/>
      <c r="O25" s="156"/>
      <c r="P25" s="156"/>
      <c r="Q25" s="156"/>
      <c r="R25" s="156"/>
      <c r="S25" s="156"/>
      <c r="T25" s="68">
        <f t="shared" si="4"/>
        <v>0</v>
      </c>
      <c r="U25" s="68">
        <f t="shared" si="5"/>
        <v>0</v>
      </c>
    </row>
    <row r="26" spans="1:21" s="21" customFormat="1" ht="15.75" hidden="1">
      <c r="A26" s="22"/>
      <c r="B26" s="196">
        <f>Translation!A68</f>
      </c>
      <c r="C26" s="156"/>
      <c r="D26" s="156"/>
      <c r="E26" s="156"/>
      <c r="F26" s="68">
        <f t="shared" si="0"/>
        <v>0</v>
      </c>
      <c r="G26" s="156"/>
      <c r="H26" s="156"/>
      <c r="I26" s="156"/>
      <c r="J26" s="156"/>
      <c r="K26" s="156"/>
      <c r="L26" s="156"/>
      <c r="M26" s="68">
        <f t="shared" si="2"/>
        <v>0</v>
      </c>
      <c r="N26" s="156"/>
      <c r="O26" s="156"/>
      <c r="P26" s="156"/>
      <c r="Q26" s="156"/>
      <c r="R26" s="156"/>
      <c r="S26" s="156"/>
      <c r="T26" s="68">
        <f t="shared" si="4"/>
        <v>0</v>
      </c>
      <c r="U26" s="68">
        <f t="shared" si="5"/>
        <v>0</v>
      </c>
    </row>
    <row r="27" spans="1:21" s="21" customFormat="1" ht="15.75">
      <c r="A27" s="22"/>
      <c r="B27" s="70" t="str">
        <f>Translation!A69</f>
        <v>PRIMARY SECTOR</v>
      </c>
      <c r="C27" s="122">
        <f>SUM(C28:C29)</f>
        <v>1092</v>
      </c>
      <c r="D27" s="122">
        <f>SUM(D28:D29)</f>
        <v>0</v>
      </c>
      <c r="E27" s="122">
        <f>SUM(E28:E29)</f>
        <v>0</v>
      </c>
      <c r="F27" s="68">
        <f t="shared" si="0"/>
        <v>1092</v>
      </c>
      <c r="G27" s="122">
        <f aca="true" t="shared" si="6" ref="G27:L27">SUM(G28:G29)</f>
        <v>0</v>
      </c>
      <c r="H27" s="122">
        <f t="shared" si="6"/>
        <v>5158</v>
      </c>
      <c r="I27" s="122">
        <f t="shared" si="6"/>
        <v>0</v>
      </c>
      <c r="J27" s="122">
        <f t="shared" si="6"/>
        <v>0</v>
      </c>
      <c r="K27" s="122">
        <f t="shared" si="6"/>
        <v>0</v>
      </c>
      <c r="L27" s="122">
        <f t="shared" si="6"/>
        <v>0</v>
      </c>
      <c r="M27" s="68">
        <f t="shared" si="2"/>
        <v>5158</v>
      </c>
      <c r="N27" s="122">
        <f aca="true" t="shared" si="7" ref="N27:S27">SUM(N28:N29)</f>
        <v>0</v>
      </c>
      <c r="O27" s="122">
        <f t="shared" si="7"/>
        <v>0</v>
      </c>
      <c r="P27" s="122">
        <f t="shared" si="7"/>
        <v>0</v>
      </c>
      <c r="Q27" s="122">
        <f t="shared" si="7"/>
        <v>0</v>
      </c>
      <c r="R27" s="122">
        <f t="shared" si="7"/>
        <v>0</v>
      </c>
      <c r="S27" s="122">
        <f t="shared" si="7"/>
        <v>0</v>
      </c>
      <c r="T27" s="68">
        <f t="shared" si="4"/>
        <v>0</v>
      </c>
      <c r="U27" s="68">
        <f t="shared" si="5"/>
        <v>6250</v>
      </c>
    </row>
    <row r="28" spans="1:21" s="21" customFormat="1" ht="15.75">
      <c r="A28" s="22"/>
      <c r="B28" s="197" t="str">
        <f>Translation!A70</f>
        <v>Agriculture, forestry and fishing</v>
      </c>
      <c r="C28" s="156">
        <v>1092</v>
      </c>
      <c r="D28" s="156">
        <v>0</v>
      </c>
      <c r="E28" s="156">
        <v>0</v>
      </c>
      <c r="F28" s="68">
        <f t="shared" si="0"/>
        <v>1092</v>
      </c>
      <c r="G28" s="156">
        <v>0</v>
      </c>
      <c r="H28" s="156">
        <v>5158</v>
      </c>
      <c r="I28" s="156">
        <v>0</v>
      </c>
      <c r="J28" s="156">
        <v>0</v>
      </c>
      <c r="K28" s="156">
        <v>0</v>
      </c>
      <c r="L28" s="156">
        <v>0</v>
      </c>
      <c r="M28" s="68">
        <f t="shared" si="2"/>
        <v>5158</v>
      </c>
      <c r="N28" s="156">
        <v>0</v>
      </c>
      <c r="O28" s="156">
        <v>0</v>
      </c>
      <c r="P28" s="156">
        <v>0</v>
      </c>
      <c r="Q28" s="156">
        <v>0</v>
      </c>
      <c r="R28" s="156">
        <v>0</v>
      </c>
      <c r="S28" s="156">
        <v>0</v>
      </c>
      <c r="T28" s="68">
        <f t="shared" si="4"/>
        <v>0</v>
      </c>
      <c r="U28" s="68">
        <f t="shared" si="5"/>
        <v>6250</v>
      </c>
    </row>
    <row r="29" spans="1:21" s="21" customFormat="1" ht="15.75" hidden="1">
      <c r="A29" s="22"/>
      <c r="B29" s="197" t="str">
        <f>Translation!A71</f>
        <v>Mining and quarrying</v>
      </c>
      <c r="C29" s="156"/>
      <c r="D29" s="156"/>
      <c r="E29" s="156"/>
      <c r="F29" s="68">
        <f t="shared" si="0"/>
        <v>0</v>
      </c>
      <c r="G29" s="156"/>
      <c r="H29" s="156"/>
      <c r="I29" s="156"/>
      <c r="J29" s="156"/>
      <c r="K29" s="156"/>
      <c r="L29" s="156"/>
      <c r="M29" s="68">
        <f t="shared" si="2"/>
        <v>0</v>
      </c>
      <c r="N29" s="156"/>
      <c r="O29" s="156"/>
      <c r="P29" s="156"/>
      <c r="Q29" s="156"/>
      <c r="R29" s="156"/>
      <c r="S29" s="156"/>
      <c r="T29" s="68">
        <f t="shared" si="4"/>
        <v>0</v>
      </c>
      <c r="U29" s="68">
        <f t="shared" si="5"/>
        <v>0</v>
      </c>
    </row>
    <row r="30" spans="1:21" s="21" customFormat="1" ht="15.75">
      <c r="A30" s="22"/>
      <c r="B30" s="65" t="str">
        <f>Translation!A72</f>
        <v>SECONDARY SECTOR</v>
      </c>
      <c r="C30" s="122">
        <f>SUM(C31:C33)</f>
        <v>11745</v>
      </c>
      <c r="D30" s="122">
        <f>SUM(D31:D33)</f>
        <v>958</v>
      </c>
      <c r="E30" s="122">
        <f>SUM(E31:E33)</f>
        <v>0</v>
      </c>
      <c r="F30" s="68">
        <f t="shared" si="0"/>
        <v>12703</v>
      </c>
      <c r="G30" s="122">
        <f aca="true" t="shared" si="8" ref="G30:L30">SUM(G31:G33)</f>
        <v>0</v>
      </c>
      <c r="H30" s="122">
        <f t="shared" si="8"/>
        <v>0</v>
      </c>
      <c r="I30" s="122">
        <f t="shared" si="8"/>
        <v>0</v>
      </c>
      <c r="J30" s="122">
        <f t="shared" si="8"/>
        <v>0</v>
      </c>
      <c r="K30" s="122">
        <f t="shared" si="8"/>
        <v>0</v>
      </c>
      <c r="L30" s="122">
        <f t="shared" si="8"/>
        <v>0</v>
      </c>
      <c r="M30" s="68">
        <f t="shared" si="2"/>
        <v>0</v>
      </c>
      <c r="N30" s="122">
        <f aca="true" t="shared" si="9" ref="N30:S30">SUM(N31:N33)</f>
        <v>0</v>
      </c>
      <c r="O30" s="122">
        <f t="shared" si="9"/>
        <v>0</v>
      </c>
      <c r="P30" s="122">
        <f t="shared" si="9"/>
        <v>0</v>
      </c>
      <c r="Q30" s="122">
        <f t="shared" si="9"/>
        <v>0</v>
      </c>
      <c r="R30" s="122">
        <f t="shared" si="9"/>
        <v>0</v>
      </c>
      <c r="S30" s="122">
        <f t="shared" si="9"/>
        <v>1000</v>
      </c>
      <c r="T30" s="68">
        <f t="shared" si="4"/>
        <v>1000</v>
      </c>
      <c r="U30" s="68">
        <f t="shared" si="5"/>
        <v>13703</v>
      </c>
    </row>
    <row r="31" spans="1:21" s="21" customFormat="1" ht="15.75">
      <c r="A31" s="22"/>
      <c r="B31" s="197" t="str">
        <f>Translation!A73</f>
        <v>Manufacturing</v>
      </c>
      <c r="C31" s="156">
        <v>11231</v>
      </c>
      <c r="D31" s="156">
        <v>958</v>
      </c>
      <c r="E31" s="156">
        <v>0</v>
      </c>
      <c r="F31" s="68">
        <f t="shared" si="0"/>
        <v>12189</v>
      </c>
      <c r="G31" s="156">
        <v>0</v>
      </c>
      <c r="H31" s="156">
        <v>0</v>
      </c>
      <c r="I31" s="156">
        <v>0</v>
      </c>
      <c r="J31" s="156">
        <v>0</v>
      </c>
      <c r="K31" s="156">
        <v>0</v>
      </c>
      <c r="L31" s="156">
        <v>0</v>
      </c>
      <c r="M31" s="68">
        <f t="shared" si="2"/>
        <v>0</v>
      </c>
      <c r="N31" s="156">
        <v>0</v>
      </c>
      <c r="O31" s="156">
        <v>0</v>
      </c>
      <c r="P31" s="156">
        <v>0</v>
      </c>
      <c r="Q31" s="156">
        <v>0</v>
      </c>
      <c r="R31" s="156">
        <v>0</v>
      </c>
      <c r="S31" s="156">
        <v>1000</v>
      </c>
      <c r="T31" s="68">
        <f t="shared" si="4"/>
        <v>1000</v>
      </c>
      <c r="U31" s="68">
        <f t="shared" si="5"/>
        <v>13189</v>
      </c>
    </row>
    <row r="32" spans="1:21" s="21" customFormat="1" ht="30">
      <c r="A32" s="22"/>
      <c r="B32" s="197" t="str">
        <f>Translation!A74</f>
        <v>Water supply, sewerage, waste management and remediation activities</v>
      </c>
      <c r="C32" s="156">
        <v>0</v>
      </c>
      <c r="D32" s="156">
        <v>0</v>
      </c>
      <c r="E32" s="156">
        <v>0</v>
      </c>
      <c r="F32" s="68">
        <f t="shared" si="0"/>
        <v>0</v>
      </c>
      <c r="G32" s="156">
        <v>0</v>
      </c>
      <c r="H32" s="156">
        <v>0</v>
      </c>
      <c r="I32" s="156">
        <v>0</v>
      </c>
      <c r="J32" s="156">
        <v>0</v>
      </c>
      <c r="K32" s="156">
        <v>0</v>
      </c>
      <c r="L32" s="156">
        <v>0</v>
      </c>
      <c r="M32" s="68">
        <f t="shared" si="2"/>
        <v>0</v>
      </c>
      <c r="N32" s="156">
        <v>0</v>
      </c>
      <c r="O32" s="156">
        <v>0</v>
      </c>
      <c r="P32" s="156">
        <v>0</v>
      </c>
      <c r="Q32" s="156">
        <v>0</v>
      </c>
      <c r="R32" s="156">
        <v>0</v>
      </c>
      <c r="S32" s="156">
        <v>0</v>
      </c>
      <c r="T32" s="68">
        <f t="shared" si="4"/>
        <v>0</v>
      </c>
      <c r="U32" s="68">
        <f t="shared" si="5"/>
        <v>0</v>
      </c>
    </row>
    <row r="33" spans="1:21" s="21" customFormat="1" ht="15.75">
      <c r="A33" s="22"/>
      <c r="B33" s="197" t="str">
        <f>Translation!A75</f>
        <v>Construction</v>
      </c>
      <c r="C33" s="156">
        <v>514</v>
      </c>
      <c r="D33" s="156">
        <v>0</v>
      </c>
      <c r="E33" s="156">
        <v>0</v>
      </c>
      <c r="F33" s="68">
        <f t="shared" si="0"/>
        <v>514</v>
      </c>
      <c r="G33" s="156">
        <v>0</v>
      </c>
      <c r="H33" s="156">
        <v>0</v>
      </c>
      <c r="I33" s="156">
        <v>0</v>
      </c>
      <c r="J33" s="156">
        <v>0</v>
      </c>
      <c r="K33" s="156">
        <v>0</v>
      </c>
      <c r="L33" s="156">
        <v>0</v>
      </c>
      <c r="M33" s="68">
        <f t="shared" si="2"/>
        <v>0</v>
      </c>
      <c r="N33" s="156">
        <v>0</v>
      </c>
      <c r="O33" s="156">
        <v>0</v>
      </c>
      <c r="P33" s="156">
        <v>0</v>
      </c>
      <c r="Q33" s="156">
        <v>0</v>
      </c>
      <c r="R33" s="156">
        <v>0</v>
      </c>
      <c r="S33" s="156">
        <v>0</v>
      </c>
      <c r="T33" s="68">
        <f t="shared" si="4"/>
        <v>0</v>
      </c>
      <c r="U33" s="68">
        <f t="shared" si="5"/>
        <v>514</v>
      </c>
    </row>
    <row r="34" spans="1:21" s="21" customFormat="1" ht="15.75">
      <c r="A34" s="22"/>
      <c r="B34" s="65" t="str">
        <f>Translation!A76</f>
        <v>TERTIARY SECTOR</v>
      </c>
      <c r="C34" s="122">
        <f>SUM(C35:C42)</f>
        <v>13312</v>
      </c>
      <c r="D34" s="122">
        <f>SUM(D35:D42)</f>
        <v>3026</v>
      </c>
      <c r="E34" s="122">
        <f>SUM(E35:E42)</f>
        <v>0</v>
      </c>
      <c r="F34" s="68">
        <f t="shared" si="0"/>
        <v>16338</v>
      </c>
      <c r="G34" s="122">
        <f aca="true" t="shared" si="10" ref="G34:L34">SUM(G35:G42)</f>
        <v>0</v>
      </c>
      <c r="H34" s="122">
        <f t="shared" si="10"/>
        <v>0</v>
      </c>
      <c r="I34" s="122">
        <f t="shared" si="10"/>
        <v>0</v>
      </c>
      <c r="J34" s="122">
        <f t="shared" si="10"/>
        <v>0</v>
      </c>
      <c r="K34" s="122">
        <f t="shared" si="10"/>
        <v>0</v>
      </c>
      <c r="L34" s="122">
        <f t="shared" si="10"/>
        <v>0</v>
      </c>
      <c r="M34" s="68">
        <f t="shared" si="2"/>
        <v>0</v>
      </c>
      <c r="N34" s="122">
        <f aca="true" t="shared" si="11" ref="N34:S34">SUM(N35:N42)</f>
        <v>0</v>
      </c>
      <c r="O34" s="122">
        <f t="shared" si="11"/>
        <v>0</v>
      </c>
      <c r="P34" s="122">
        <f t="shared" si="11"/>
        <v>0</v>
      </c>
      <c r="Q34" s="122">
        <f t="shared" si="11"/>
        <v>0</v>
      </c>
      <c r="R34" s="122">
        <f t="shared" si="11"/>
        <v>0</v>
      </c>
      <c r="S34" s="122">
        <f t="shared" si="11"/>
        <v>11150</v>
      </c>
      <c r="T34" s="68">
        <f t="shared" si="4"/>
        <v>11150</v>
      </c>
      <c r="U34" s="68">
        <f t="shared" si="5"/>
        <v>27488</v>
      </c>
    </row>
    <row r="35" spans="1:21" s="21" customFormat="1" ht="15.75">
      <c r="A35" s="22"/>
      <c r="B35" s="197" t="str">
        <f>Translation!A77</f>
        <v>Trade, service and tourism</v>
      </c>
      <c r="C35" s="156">
        <v>8532</v>
      </c>
      <c r="D35" s="156">
        <v>975</v>
      </c>
      <c r="E35" s="156">
        <v>0</v>
      </c>
      <c r="F35" s="68">
        <f t="shared" si="0"/>
        <v>9507</v>
      </c>
      <c r="G35" s="156">
        <v>0</v>
      </c>
      <c r="H35" s="156">
        <v>0</v>
      </c>
      <c r="I35" s="156">
        <v>0</v>
      </c>
      <c r="J35" s="156">
        <v>0</v>
      </c>
      <c r="K35" s="156">
        <v>0</v>
      </c>
      <c r="L35" s="156">
        <v>0</v>
      </c>
      <c r="M35" s="68">
        <f t="shared" si="2"/>
        <v>0</v>
      </c>
      <c r="N35" s="156">
        <v>0</v>
      </c>
      <c r="O35" s="156">
        <v>0</v>
      </c>
      <c r="P35" s="156">
        <v>0</v>
      </c>
      <c r="Q35" s="156">
        <v>0</v>
      </c>
      <c r="R35" s="156">
        <v>0</v>
      </c>
      <c r="S35" s="156">
        <v>1000</v>
      </c>
      <c r="T35" s="68">
        <f t="shared" si="4"/>
        <v>1000</v>
      </c>
      <c r="U35" s="68">
        <f t="shared" si="5"/>
        <v>10507</v>
      </c>
    </row>
    <row r="36" spans="1:21" s="21" customFormat="1" ht="15.75">
      <c r="A36" s="22"/>
      <c r="B36" s="197" t="str">
        <f>Translation!A78</f>
        <v>Public administration, schools and kindergardens</v>
      </c>
      <c r="C36" s="156">
        <v>3834</v>
      </c>
      <c r="D36" s="156">
        <v>2051</v>
      </c>
      <c r="E36" s="156">
        <v>0</v>
      </c>
      <c r="F36" s="68">
        <f t="shared" si="0"/>
        <v>5885</v>
      </c>
      <c r="G36" s="156">
        <v>0</v>
      </c>
      <c r="H36" s="156">
        <v>0</v>
      </c>
      <c r="I36" s="156">
        <v>0</v>
      </c>
      <c r="J36" s="156">
        <v>0</v>
      </c>
      <c r="K36" s="156">
        <v>0</v>
      </c>
      <c r="L36" s="156">
        <v>0</v>
      </c>
      <c r="M36" s="68">
        <f t="shared" si="2"/>
        <v>0</v>
      </c>
      <c r="N36" s="156">
        <v>0</v>
      </c>
      <c r="O36" s="156">
        <v>0</v>
      </c>
      <c r="P36" s="156">
        <v>0</v>
      </c>
      <c r="Q36" s="156">
        <v>0</v>
      </c>
      <c r="R36" s="156">
        <v>0</v>
      </c>
      <c r="S36" s="156">
        <v>10150</v>
      </c>
      <c r="T36" s="68">
        <f t="shared" si="4"/>
        <v>10150</v>
      </c>
      <c r="U36" s="68">
        <f t="shared" si="5"/>
        <v>16035</v>
      </c>
    </row>
    <row r="37" spans="1:21" s="21" customFormat="1" ht="15.75">
      <c r="A37" s="22"/>
      <c r="B37" s="197" t="str">
        <f>Translation!A79</f>
        <v>Other services</v>
      </c>
      <c r="C37" s="156">
        <v>946</v>
      </c>
      <c r="D37" s="156">
        <v>0</v>
      </c>
      <c r="E37" s="156">
        <v>0</v>
      </c>
      <c r="F37" s="68">
        <f t="shared" si="0"/>
        <v>946</v>
      </c>
      <c r="G37" s="156">
        <v>0</v>
      </c>
      <c r="H37" s="156">
        <v>0</v>
      </c>
      <c r="I37" s="156">
        <v>0</v>
      </c>
      <c r="J37" s="156">
        <v>0</v>
      </c>
      <c r="K37" s="156">
        <v>0</v>
      </c>
      <c r="L37" s="156">
        <v>0</v>
      </c>
      <c r="M37" s="68">
        <f t="shared" si="2"/>
        <v>0</v>
      </c>
      <c r="N37" s="156">
        <v>0</v>
      </c>
      <c r="O37" s="156">
        <v>0</v>
      </c>
      <c r="P37" s="156">
        <v>0</v>
      </c>
      <c r="Q37" s="156">
        <v>0</v>
      </c>
      <c r="R37" s="156">
        <v>0</v>
      </c>
      <c r="S37" s="156">
        <v>0</v>
      </c>
      <c r="T37" s="68">
        <f t="shared" si="4"/>
        <v>0</v>
      </c>
      <c r="U37" s="68">
        <f t="shared" si="5"/>
        <v>946</v>
      </c>
    </row>
    <row r="38" spans="1:21" s="21" customFormat="1" ht="15.75" hidden="1">
      <c r="A38" s="22"/>
      <c r="B38" s="197">
        <f>Translation!A80</f>
      </c>
      <c r="C38" s="156">
        <v>0</v>
      </c>
      <c r="D38" s="156">
        <v>0</v>
      </c>
      <c r="E38" s="156">
        <v>0</v>
      </c>
      <c r="F38" s="68">
        <f t="shared" si="0"/>
        <v>0</v>
      </c>
      <c r="G38" s="156">
        <v>0</v>
      </c>
      <c r="H38" s="156">
        <v>0</v>
      </c>
      <c r="I38" s="156">
        <v>0</v>
      </c>
      <c r="J38" s="156">
        <v>0</v>
      </c>
      <c r="K38" s="156">
        <v>0</v>
      </c>
      <c r="L38" s="156">
        <v>0</v>
      </c>
      <c r="M38" s="68">
        <f t="shared" si="2"/>
        <v>0</v>
      </c>
      <c r="N38" s="156">
        <v>0</v>
      </c>
      <c r="O38" s="156">
        <v>0</v>
      </c>
      <c r="P38" s="156">
        <v>0</v>
      </c>
      <c r="Q38" s="156">
        <v>0</v>
      </c>
      <c r="R38" s="156">
        <v>0</v>
      </c>
      <c r="S38" s="156">
        <v>0</v>
      </c>
      <c r="T38" s="68">
        <f t="shared" si="4"/>
        <v>0</v>
      </c>
      <c r="U38" s="68">
        <f t="shared" si="5"/>
        <v>0</v>
      </c>
    </row>
    <row r="39" spans="1:21" s="21" customFormat="1" ht="15.75" hidden="1">
      <c r="A39" s="22"/>
      <c r="B39" s="197">
        <f>Translation!A81</f>
      </c>
      <c r="C39" s="156">
        <v>0</v>
      </c>
      <c r="D39" s="156">
        <v>0</v>
      </c>
      <c r="E39" s="156">
        <v>0</v>
      </c>
      <c r="F39" s="68">
        <f t="shared" si="0"/>
        <v>0</v>
      </c>
      <c r="G39" s="156">
        <v>0</v>
      </c>
      <c r="H39" s="156">
        <v>0</v>
      </c>
      <c r="I39" s="156">
        <v>0</v>
      </c>
      <c r="J39" s="156">
        <v>0</v>
      </c>
      <c r="K39" s="156">
        <v>0</v>
      </c>
      <c r="L39" s="156">
        <v>0</v>
      </c>
      <c r="M39" s="68">
        <f t="shared" si="2"/>
        <v>0</v>
      </c>
      <c r="N39" s="156">
        <v>0</v>
      </c>
      <c r="O39" s="156">
        <v>0</v>
      </c>
      <c r="P39" s="156">
        <v>0</v>
      </c>
      <c r="Q39" s="156">
        <v>0</v>
      </c>
      <c r="R39" s="156">
        <v>0</v>
      </c>
      <c r="S39" s="156">
        <v>0</v>
      </c>
      <c r="T39" s="68">
        <f t="shared" si="4"/>
        <v>0</v>
      </c>
      <c r="U39" s="68">
        <f t="shared" si="5"/>
        <v>0</v>
      </c>
    </row>
    <row r="40" spans="1:21" s="21" customFormat="1" ht="15.75" hidden="1">
      <c r="A40" s="22"/>
      <c r="B40" s="197">
        <f>Translation!A82</f>
      </c>
      <c r="C40" s="156">
        <v>0</v>
      </c>
      <c r="D40" s="156">
        <v>0</v>
      </c>
      <c r="E40" s="156">
        <v>0</v>
      </c>
      <c r="F40" s="68">
        <f t="shared" si="0"/>
        <v>0</v>
      </c>
      <c r="G40" s="156">
        <v>0</v>
      </c>
      <c r="H40" s="156">
        <v>0</v>
      </c>
      <c r="I40" s="156">
        <v>0</v>
      </c>
      <c r="J40" s="156">
        <v>0</v>
      </c>
      <c r="K40" s="156">
        <v>0</v>
      </c>
      <c r="L40" s="156">
        <v>0</v>
      </c>
      <c r="M40" s="68">
        <f t="shared" si="2"/>
        <v>0</v>
      </c>
      <c r="N40" s="156">
        <v>0</v>
      </c>
      <c r="O40" s="156">
        <v>0</v>
      </c>
      <c r="P40" s="156">
        <v>0</v>
      </c>
      <c r="Q40" s="156">
        <v>0</v>
      </c>
      <c r="R40" s="156">
        <v>0</v>
      </c>
      <c r="S40" s="156">
        <v>0</v>
      </c>
      <c r="T40" s="68">
        <f t="shared" si="4"/>
        <v>0</v>
      </c>
      <c r="U40" s="68">
        <f t="shared" si="5"/>
        <v>0</v>
      </c>
    </row>
    <row r="41" spans="1:21" s="21" customFormat="1" ht="15.75" hidden="1">
      <c r="A41" s="22"/>
      <c r="B41" s="197">
        <f>Translation!A83</f>
      </c>
      <c r="C41" s="156">
        <v>0</v>
      </c>
      <c r="D41" s="156">
        <v>0</v>
      </c>
      <c r="E41" s="156">
        <v>0</v>
      </c>
      <c r="F41" s="68">
        <f t="shared" si="0"/>
        <v>0</v>
      </c>
      <c r="G41" s="156">
        <v>0</v>
      </c>
      <c r="H41" s="156">
        <v>0</v>
      </c>
      <c r="I41" s="156">
        <v>0</v>
      </c>
      <c r="J41" s="156">
        <v>0</v>
      </c>
      <c r="K41" s="156">
        <v>0</v>
      </c>
      <c r="L41" s="156">
        <v>0</v>
      </c>
      <c r="M41" s="68">
        <f t="shared" si="2"/>
        <v>0</v>
      </c>
      <c r="N41" s="156">
        <v>0</v>
      </c>
      <c r="O41" s="156">
        <v>0</v>
      </c>
      <c r="P41" s="156">
        <v>0</v>
      </c>
      <c r="Q41" s="156">
        <v>0</v>
      </c>
      <c r="R41" s="156">
        <v>0</v>
      </c>
      <c r="S41" s="156">
        <v>0</v>
      </c>
      <c r="T41" s="68">
        <f t="shared" si="4"/>
        <v>0</v>
      </c>
      <c r="U41" s="68">
        <f t="shared" si="5"/>
        <v>0</v>
      </c>
    </row>
    <row r="42" spans="1:21" s="21" customFormat="1" ht="15.75" hidden="1">
      <c r="A42" s="22"/>
      <c r="B42" s="197">
        <f>Translation!A84</f>
      </c>
      <c r="C42" s="156"/>
      <c r="D42" s="156">
        <v>0</v>
      </c>
      <c r="E42" s="156">
        <v>0</v>
      </c>
      <c r="F42" s="68">
        <f t="shared" si="0"/>
        <v>0</v>
      </c>
      <c r="G42" s="156">
        <v>0</v>
      </c>
      <c r="H42" s="156">
        <v>0</v>
      </c>
      <c r="I42" s="156">
        <v>0</v>
      </c>
      <c r="J42" s="156">
        <v>0</v>
      </c>
      <c r="K42" s="156">
        <v>0</v>
      </c>
      <c r="L42" s="156">
        <v>0</v>
      </c>
      <c r="M42" s="68">
        <f t="shared" si="2"/>
        <v>0</v>
      </c>
      <c r="N42" s="156">
        <v>0</v>
      </c>
      <c r="O42" s="156">
        <v>0</v>
      </c>
      <c r="P42" s="156">
        <v>0</v>
      </c>
      <c r="Q42" s="156">
        <v>0</v>
      </c>
      <c r="R42" s="156">
        <v>0</v>
      </c>
      <c r="S42" s="156">
        <v>0</v>
      </c>
      <c r="T42" s="68">
        <f t="shared" si="4"/>
        <v>0</v>
      </c>
      <c r="U42" s="68">
        <f t="shared" si="5"/>
        <v>0</v>
      </c>
    </row>
    <row r="43" spans="1:21" s="21" customFormat="1" ht="15.75">
      <c r="A43" s="22"/>
      <c r="B43" s="65" t="str">
        <f>Translation!A85</f>
        <v>TRANSPORTS</v>
      </c>
      <c r="C43" s="122">
        <f>SUM(C44:C47)</f>
        <v>0</v>
      </c>
      <c r="D43" s="122">
        <f>SUM(D44:D47)</f>
        <v>0</v>
      </c>
      <c r="E43" s="122">
        <f>SUM(E44:E47)</f>
        <v>0</v>
      </c>
      <c r="F43" s="68">
        <f t="shared" si="0"/>
        <v>0</v>
      </c>
      <c r="G43" s="122">
        <f aca="true" t="shared" si="12" ref="G43:L43">SUM(G44:G47)</f>
        <v>0</v>
      </c>
      <c r="H43" s="122">
        <f t="shared" si="12"/>
        <v>20435</v>
      </c>
      <c r="I43" s="122">
        <f t="shared" si="12"/>
        <v>21078</v>
      </c>
      <c r="J43" s="122">
        <f t="shared" si="12"/>
        <v>0</v>
      </c>
      <c r="K43" s="122">
        <f t="shared" si="12"/>
        <v>0</v>
      </c>
      <c r="L43" s="122">
        <f t="shared" si="12"/>
        <v>0</v>
      </c>
      <c r="M43" s="68">
        <f t="shared" si="2"/>
        <v>41513</v>
      </c>
      <c r="N43" s="122">
        <f aca="true" t="shared" si="13" ref="N43:S43">SUM(N44:N47)</f>
        <v>0</v>
      </c>
      <c r="O43" s="122">
        <f t="shared" si="13"/>
        <v>0</v>
      </c>
      <c r="P43" s="122">
        <f t="shared" si="13"/>
        <v>0</v>
      </c>
      <c r="Q43" s="122">
        <f t="shared" si="13"/>
        <v>0</v>
      </c>
      <c r="R43" s="122">
        <f t="shared" si="13"/>
        <v>0</v>
      </c>
      <c r="S43" s="122">
        <f t="shared" si="13"/>
        <v>0</v>
      </c>
      <c r="T43" s="68">
        <f t="shared" si="4"/>
        <v>0</v>
      </c>
      <c r="U43" s="68">
        <f t="shared" si="5"/>
        <v>41513</v>
      </c>
    </row>
    <row r="44" spans="1:21" s="21" customFormat="1" ht="30">
      <c r="A44" s="22"/>
      <c r="B44" s="197" t="str">
        <f>Translation!A86</f>
        <v>Passenger road transport (public transports, taxi, tourism, school buses, etc.)</v>
      </c>
      <c r="C44" s="156"/>
      <c r="D44" s="156"/>
      <c r="E44" s="156"/>
      <c r="F44" s="68">
        <f t="shared" si="0"/>
        <v>0</v>
      </c>
      <c r="G44" s="156">
        <v>0</v>
      </c>
      <c r="H44" s="156">
        <v>1109</v>
      </c>
      <c r="I44" s="156">
        <v>0</v>
      </c>
      <c r="J44" s="156">
        <v>0</v>
      </c>
      <c r="K44" s="156">
        <v>0</v>
      </c>
      <c r="L44" s="156">
        <v>0</v>
      </c>
      <c r="M44" s="68">
        <f t="shared" si="2"/>
        <v>1109</v>
      </c>
      <c r="N44" s="156"/>
      <c r="O44" s="156"/>
      <c r="P44" s="156"/>
      <c r="Q44" s="156"/>
      <c r="R44" s="156"/>
      <c r="S44" s="156"/>
      <c r="T44" s="68">
        <f t="shared" si="4"/>
        <v>0</v>
      </c>
      <c r="U44" s="68">
        <f t="shared" si="5"/>
        <v>1109</v>
      </c>
    </row>
    <row r="45" spans="1:21" s="21" customFormat="1" ht="15.75">
      <c r="A45" s="22"/>
      <c r="B45" s="197" t="str">
        <f>Translation!A87</f>
        <v>Freight transport by road and removal services</v>
      </c>
      <c r="C45" s="156"/>
      <c r="D45" s="156"/>
      <c r="E45" s="156"/>
      <c r="F45" s="68">
        <f t="shared" si="0"/>
        <v>0</v>
      </c>
      <c r="G45" s="156">
        <v>0</v>
      </c>
      <c r="H45" s="156">
        <v>11103</v>
      </c>
      <c r="I45" s="156">
        <v>0</v>
      </c>
      <c r="J45" s="156">
        <v>0</v>
      </c>
      <c r="K45" s="156">
        <v>0</v>
      </c>
      <c r="L45" s="156">
        <v>0</v>
      </c>
      <c r="M45" s="68">
        <f t="shared" si="2"/>
        <v>11103</v>
      </c>
      <c r="N45" s="156"/>
      <c r="O45" s="156"/>
      <c r="P45" s="156"/>
      <c r="Q45" s="156"/>
      <c r="R45" s="156"/>
      <c r="S45" s="156"/>
      <c r="T45" s="68">
        <f t="shared" si="4"/>
        <v>0</v>
      </c>
      <c r="U45" s="68">
        <f t="shared" si="5"/>
        <v>11103</v>
      </c>
    </row>
    <row r="46" spans="1:21" s="21" customFormat="1" ht="30">
      <c r="A46" s="22"/>
      <c r="B46" s="197" t="str">
        <f>Translation!A88</f>
        <v>Other fleet for public and private services, and private transports</v>
      </c>
      <c r="C46" s="156"/>
      <c r="D46" s="156"/>
      <c r="E46" s="156"/>
      <c r="F46" s="68">
        <f t="shared" si="0"/>
        <v>0</v>
      </c>
      <c r="G46" s="156">
        <v>0</v>
      </c>
      <c r="H46" s="156">
        <v>8223</v>
      </c>
      <c r="I46" s="156">
        <v>21078</v>
      </c>
      <c r="J46" s="156">
        <v>0</v>
      </c>
      <c r="K46" s="156">
        <v>0</v>
      </c>
      <c r="L46" s="156">
        <v>0</v>
      </c>
      <c r="M46" s="68">
        <f t="shared" si="2"/>
        <v>29301</v>
      </c>
      <c r="N46" s="156"/>
      <c r="O46" s="156"/>
      <c r="P46" s="156"/>
      <c r="Q46" s="156"/>
      <c r="R46" s="156"/>
      <c r="S46" s="156"/>
      <c r="T46" s="68">
        <f t="shared" si="4"/>
        <v>0</v>
      </c>
      <c r="U46" s="68">
        <f t="shared" si="5"/>
        <v>29301</v>
      </c>
    </row>
    <row r="47" spans="1:21" s="21" customFormat="1" ht="15.75" hidden="1">
      <c r="A47" s="22"/>
      <c r="B47" s="196">
        <f>Translation!A89</f>
      </c>
      <c r="C47" s="156"/>
      <c r="D47" s="156"/>
      <c r="E47" s="156"/>
      <c r="F47" s="68">
        <f t="shared" si="0"/>
        <v>0</v>
      </c>
      <c r="G47" s="156">
        <v>0</v>
      </c>
      <c r="H47" s="156"/>
      <c r="I47" s="156"/>
      <c r="J47" s="156">
        <v>0</v>
      </c>
      <c r="K47" s="156">
        <v>0</v>
      </c>
      <c r="L47" s="156">
        <v>0</v>
      </c>
      <c r="M47" s="68">
        <f t="shared" si="2"/>
        <v>0</v>
      </c>
      <c r="N47" s="156"/>
      <c r="O47" s="156"/>
      <c r="P47" s="156"/>
      <c r="Q47" s="156"/>
      <c r="R47" s="156"/>
      <c r="S47" s="156"/>
      <c r="T47" s="68">
        <f t="shared" si="4"/>
        <v>0</v>
      </c>
      <c r="U47" s="68">
        <f t="shared" si="5"/>
        <v>0</v>
      </c>
    </row>
    <row r="48" spans="1:21" s="21" customFormat="1" ht="15.75">
      <c r="A48" s="22"/>
      <c r="B48" s="77" t="str">
        <f>Translation!A117</f>
        <v>TOTAL FOR INTERNAL MARKET</v>
      </c>
      <c r="C48" s="157">
        <f>C17+C27+C30+C34+C43</f>
        <v>43355</v>
      </c>
      <c r="D48" s="157">
        <f>D17+D27+D30+D34+D43</f>
        <v>8364</v>
      </c>
      <c r="E48" s="157">
        <f>E17+E27+E30+E34+E43</f>
        <v>0</v>
      </c>
      <c r="F48" s="68">
        <f t="shared" si="0"/>
        <v>51719</v>
      </c>
      <c r="G48" s="69">
        <f aca="true" t="shared" si="14" ref="G48:L48">G17+G27+G30+G34+G43</f>
        <v>469</v>
      </c>
      <c r="H48" s="69">
        <f t="shared" si="14"/>
        <v>25593</v>
      </c>
      <c r="I48" s="69">
        <f t="shared" si="14"/>
        <v>21078</v>
      </c>
      <c r="J48" s="69">
        <f t="shared" si="14"/>
        <v>12</v>
      </c>
      <c r="K48" s="69">
        <f t="shared" si="14"/>
        <v>0</v>
      </c>
      <c r="L48" s="69">
        <f t="shared" si="14"/>
        <v>0</v>
      </c>
      <c r="M48" s="68">
        <f t="shared" si="2"/>
        <v>47152</v>
      </c>
      <c r="N48" s="69">
        <f aca="true" t="shared" si="15" ref="N48:S48">N17+N27+N30+N34+N43</f>
        <v>0</v>
      </c>
      <c r="O48" s="69">
        <f t="shared" si="15"/>
        <v>0</v>
      </c>
      <c r="P48" s="69">
        <f t="shared" si="15"/>
        <v>0</v>
      </c>
      <c r="Q48" s="69">
        <f t="shared" si="15"/>
        <v>0</v>
      </c>
      <c r="R48" s="69">
        <f t="shared" si="15"/>
        <v>0</v>
      </c>
      <c r="S48" s="69">
        <f t="shared" si="15"/>
        <v>57700</v>
      </c>
      <c r="T48" s="68">
        <f t="shared" si="4"/>
        <v>57700</v>
      </c>
      <c r="U48" s="68">
        <f t="shared" si="5"/>
        <v>156571</v>
      </c>
    </row>
    <row r="49" spans="2:21" s="66" customFormat="1" ht="30" hidden="1">
      <c r="B49" s="196" t="str">
        <f>Translation!A90</f>
        <v>Reexportation (ships, airplanes, industrial free zones, national and international militar installations, etc.)</v>
      </c>
      <c r="C49" s="156"/>
      <c r="D49" s="156"/>
      <c r="E49" s="156"/>
      <c r="F49" s="68">
        <f t="shared" si="0"/>
        <v>0</v>
      </c>
      <c r="G49" s="156"/>
      <c r="H49" s="156"/>
      <c r="I49" s="156"/>
      <c r="J49" s="156"/>
      <c r="K49" s="156"/>
      <c r="L49" s="156"/>
      <c r="M49" s="68">
        <f t="shared" si="2"/>
        <v>0</v>
      </c>
      <c r="N49" s="156"/>
      <c r="O49" s="156"/>
      <c r="P49" s="156"/>
      <c r="Q49" s="156"/>
      <c r="R49" s="156"/>
      <c r="S49" s="156"/>
      <c r="T49" s="68">
        <f t="shared" si="4"/>
        <v>0</v>
      </c>
      <c r="U49" s="68">
        <f t="shared" si="5"/>
        <v>0</v>
      </c>
    </row>
    <row r="50" spans="2:21" s="66" customFormat="1" ht="30" hidden="1">
      <c r="B50" s="196" t="str">
        <f>Translation!A91</f>
        <v>Activities with intensive use of energy for exportation (to exclude in the island energy balance)</v>
      </c>
      <c r="C50" s="156"/>
      <c r="D50" s="156"/>
      <c r="E50" s="156"/>
      <c r="F50" s="68">
        <f t="shared" si="0"/>
        <v>0</v>
      </c>
      <c r="G50" s="156"/>
      <c r="H50" s="156"/>
      <c r="I50" s="156"/>
      <c r="J50" s="156"/>
      <c r="K50" s="156"/>
      <c r="L50" s="156"/>
      <c r="M50" s="68">
        <f t="shared" si="2"/>
        <v>0</v>
      </c>
      <c r="N50" s="156"/>
      <c r="O50" s="156"/>
      <c r="P50" s="156"/>
      <c r="Q50" s="156"/>
      <c r="R50" s="156"/>
      <c r="S50" s="156"/>
      <c r="T50" s="68">
        <f t="shared" si="4"/>
        <v>0</v>
      </c>
      <c r="U50" s="68">
        <f t="shared" si="5"/>
        <v>0</v>
      </c>
    </row>
    <row r="51" spans="2:21" s="66" customFormat="1" ht="15.75" hidden="1">
      <c r="B51" s="196" t="str">
        <f>Translation!A92</f>
        <v>Other (to exclude in the island energy balance)</v>
      </c>
      <c r="C51" s="156"/>
      <c r="D51" s="156"/>
      <c r="E51" s="156"/>
      <c r="F51" s="68">
        <f t="shared" si="0"/>
        <v>0</v>
      </c>
      <c r="G51" s="156"/>
      <c r="H51" s="156"/>
      <c r="I51" s="156"/>
      <c r="J51" s="156"/>
      <c r="K51" s="156"/>
      <c r="L51" s="156"/>
      <c r="M51" s="68">
        <f t="shared" si="2"/>
        <v>0</v>
      </c>
      <c r="N51" s="156"/>
      <c r="O51" s="156"/>
      <c r="P51" s="156"/>
      <c r="Q51" s="156"/>
      <c r="R51" s="156"/>
      <c r="S51" s="156"/>
      <c r="T51" s="68">
        <f t="shared" si="4"/>
        <v>0</v>
      </c>
      <c r="U51" s="68">
        <f t="shared" si="5"/>
        <v>0</v>
      </c>
    </row>
    <row r="52" spans="2:21" s="55" customFormat="1" ht="15.75" hidden="1">
      <c r="B52" s="77" t="str">
        <f>Translation!A118</f>
        <v>TOTAL</v>
      </c>
      <c r="C52" s="57">
        <f>SUM(C49:C51)</f>
        <v>0</v>
      </c>
      <c r="D52" s="57">
        <f>SUM(D49:D51)</f>
        <v>0</v>
      </c>
      <c r="E52" s="57">
        <f>SUM(E49:E51)</f>
        <v>0</v>
      </c>
      <c r="F52" s="68">
        <f t="shared" si="0"/>
        <v>0</v>
      </c>
      <c r="G52" s="57">
        <f aca="true" t="shared" si="16" ref="G52:L52">SUM(G49:G51)</f>
        <v>0</v>
      </c>
      <c r="H52" s="57">
        <f t="shared" si="16"/>
        <v>0</v>
      </c>
      <c r="I52" s="57">
        <f t="shared" si="16"/>
        <v>0</v>
      </c>
      <c r="J52" s="57">
        <f t="shared" si="16"/>
        <v>0</v>
      </c>
      <c r="K52" s="57">
        <f t="shared" si="16"/>
        <v>0</v>
      </c>
      <c r="L52" s="57">
        <f t="shared" si="16"/>
        <v>0</v>
      </c>
      <c r="M52" s="68">
        <f t="shared" si="2"/>
        <v>0</v>
      </c>
      <c r="N52" s="57">
        <f aca="true" t="shared" si="17" ref="N52:S52">SUM(N49:N51)</f>
        <v>0</v>
      </c>
      <c r="O52" s="57">
        <f t="shared" si="17"/>
        <v>0</v>
      </c>
      <c r="P52" s="57">
        <f t="shared" si="17"/>
        <v>0</v>
      </c>
      <c r="Q52" s="57">
        <f t="shared" si="17"/>
        <v>0</v>
      </c>
      <c r="R52" s="57">
        <f t="shared" si="17"/>
        <v>0</v>
      </c>
      <c r="S52" s="57">
        <f t="shared" si="17"/>
        <v>0</v>
      </c>
      <c r="T52" s="68">
        <f t="shared" si="4"/>
        <v>0</v>
      </c>
      <c r="U52" s="68">
        <f t="shared" si="5"/>
        <v>0</v>
      </c>
    </row>
    <row r="53" spans="2:18" s="151" customFormat="1" ht="15.75">
      <c r="B53" s="127"/>
      <c r="C53" s="150"/>
      <c r="D53" s="150"/>
      <c r="E53" s="150"/>
      <c r="F53" s="150"/>
      <c r="G53" s="150"/>
      <c r="H53" s="150"/>
      <c r="I53" s="150"/>
      <c r="J53" s="150"/>
      <c r="K53" s="150"/>
      <c r="L53" s="150"/>
      <c r="M53" s="150"/>
      <c r="N53" s="150"/>
      <c r="O53" s="150"/>
      <c r="P53" s="150"/>
      <c r="Q53" s="150"/>
      <c r="R53" s="150"/>
    </row>
    <row r="54" spans="2:30" s="90" customFormat="1" ht="31.5">
      <c r="B54" s="91" t="str">
        <f>Translation!A119</f>
        <v>SECONDARY ENERGY PRODUCTION AND ENERGY FLUXES</v>
      </c>
      <c r="C54" s="93"/>
      <c r="D54" s="93"/>
      <c r="E54" s="93"/>
      <c r="F54" s="93"/>
      <c r="G54" s="93"/>
      <c r="H54" s="93"/>
      <c r="I54" s="93"/>
      <c r="J54" s="93"/>
      <c r="K54" s="93"/>
      <c r="L54" s="93"/>
      <c r="M54" s="93"/>
      <c r="N54" s="93"/>
      <c r="O54" s="93"/>
      <c r="P54" s="93"/>
      <c r="Q54" s="93"/>
      <c r="R54" s="93"/>
      <c r="S54" s="93"/>
      <c r="T54" s="93"/>
      <c r="U54" s="93"/>
      <c r="V54" s="93"/>
      <c r="W54" s="93"/>
      <c r="X54" s="94"/>
      <c r="AD54" s="92" t="str">
        <f>Translation!$A$21</f>
        <v>[MWh]</v>
      </c>
    </row>
    <row r="55" spans="2:30" s="55" customFormat="1" ht="32.25" customHeight="1">
      <c r="B55" s="292" t="str">
        <f>Translation!A120</f>
        <v>PRODUCTION SECTOR</v>
      </c>
      <c r="C55" s="294" t="str">
        <f>Translation!A121</f>
        <v>ENERGY SOURCE</v>
      </c>
      <c r="D55" s="295"/>
      <c r="E55" s="295"/>
      <c r="F55" s="295"/>
      <c r="G55" s="295"/>
      <c r="H55" s="295"/>
      <c r="I55" s="295"/>
      <c r="J55" s="295"/>
      <c r="K55" s="295"/>
      <c r="L55" s="295"/>
      <c r="M55" s="295"/>
      <c r="N55" s="295"/>
      <c r="O55" s="295"/>
      <c r="P55" s="295"/>
      <c r="Q55" s="295"/>
      <c r="R55" s="295"/>
      <c r="S55" s="296"/>
      <c r="T55" s="294" t="str">
        <f>Translation!A138</f>
        <v>SECONDARY ENERGY CONVERSION</v>
      </c>
      <c r="U55" s="295"/>
      <c r="V55" s="296"/>
      <c r="W55" s="300" t="str">
        <f>Translation!A129</f>
        <v>ENERGY FLUXES</v>
      </c>
      <c r="X55" s="301"/>
      <c r="Y55" s="301"/>
      <c r="Z55" s="301"/>
      <c r="AA55" s="301"/>
      <c r="AB55" s="302"/>
      <c r="AC55" s="317" t="str">
        <f>Translation!A118</f>
        <v>TOTAL</v>
      </c>
      <c r="AD55" s="275" t="str">
        <f>Translation!A137</f>
        <v>Distribution losses and self-consumption</v>
      </c>
    </row>
    <row r="56" spans="2:30" s="55" customFormat="1" ht="18" customHeight="1">
      <c r="B56" s="293"/>
      <c r="C56" s="323" t="str">
        <f>Translation!A98</f>
        <v>Fossil fuels</v>
      </c>
      <c r="D56" s="324"/>
      <c r="E56" s="324"/>
      <c r="F56" s="324"/>
      <c r="G56" s="324"/>
      <c r="H56" s="324"/>
      <c r="I56" s="325"/>
      <c r="J56" s="323" t="str">
        <f>Translation!A106</f>
        <v>Renewable energy sources (from systems connected to public networks)</v>
      </c>
      <c r="K56" s="324"/>
      <c r="L56" s="324"/>
      <c r="M56" s="324"/>
      <c r="N56" s="324"/>
      <c r="O56" s="324"/>
      <c r="P56" s="324"/>
      <c r="Q56" s="324"/>
      <c r="R56" s="325"/>
      <c r="S56" s="275" t="str">
        <f>Translation!A116</f>
        <v>Subtotal</v>
      </c>
      <c r="T56" s="321" t="str">
        <f>Translation!A139</f>
        <v>Electricity conversion to cold</v>
      </c>
      <c r="U56" s="321" t="str">
        <f>Translation!A140</f>
        <v>Heat conversion to cold</v>
      </c>
      <c r="V56" s="275" t="str">
        <f>Translation!A116</f>
        <v>Subtotal</v>
      </c>
      <c r="W56" s="319" t="str">
        <f>Translation!A130</f>
        <v>Storage</v>
      </c>
      <c r="X56" s="320"/>
      <c r="Y56" s="318" t="str">
        <f>Translation!A133</f>
        <v>External connection</v>
      </c>
      <c r="Z56" s="318"/>
      <c r="AA56" s="292" t="str">
        <f>Translation!A136</f>
        <v>Reexportation and external consumption</v>
      </c>
      <c r="AB56" s="275" t="str">
        <f>Translation!A116</f>
        <v>Subtotal</v>
      </c>
      <c r="AC56" s="317"/>
      <c r="AD56" s="275"/>
    </row>
    <row r="57" spans="2:30" s="55" customFormat="1" ht="69.75" customHeight="1">
      <c r="B57" s="73" t="str">
        <f>Translation!A122</f>
        <v>Energy product</v>
      </c>
      <c r="C57" s="112" t="str">
        <f>Translation!A99</f>
        <v>Fueloil</v>
      </c>
      <c r="D57" s="112" t="str">
        <f>Translation!A100</f>
        <v>Diesel</v>
      </c>
      <c r="E57" s="112" t="str">
        <f>Translation!A101</f>
        <v>Gasoline</v>
      </c>
      <c r="F57" s="112" t="str">
        <f>Translation!A102</f>
        <v>LPG</v>
      </c>
      <c r="G57" s="112" t="str">
        <f>Translation!A103</f>
        <v>Natural gas</v>
      </c>
      <c r="H57" s="112" t="str">
        <f>Translation!A104</f>
        <v>Coal</v>
      </c>
      <c r="I57" s="112" t="str">
        <f>Translation!A116</f>
        <v>Subtotal</v>
      </c>
      <c r="J57" s="112" t="str">
        <f>Translation!A108</f>
        <v>Hydro</v>
      </c>
      <c r="K57" s="112" t="str">
        <f>Translation!A109</f>
        <v>Wind</v>
      </c>
      <c r="L57" s="112" t="str">
        <f>Translation!A110</f>
        <v>Solar</v>
      </c>
      <c r="M57" s="112" t="str">
        <f>Translation!A111</f>
        <v>Geothermal</v>
      </c>
      <c r="N57" s="112" t="str">
        <f>Translation!A112</f>
        <v>Ocean</v>
      </c>
      <c r="O57" s="112" t="str">
        <f>Translation!A113</f>
        <v>Biomass</v>
      </c>
      <c r="P57" s="112" t="str">
        <f>Translation!A114</f>
        <v>Urban waste</v>
      </c>
      <c r="Q57" s="112" t="str">
        <f>Translation!A115</f>
        <v>Energy recovery</v>
      </c>
      <c r="R57" s="112" t="str">
        <f>Translation!A116</f>
        <v>Subtotal</v>
      </c>
      <c r="S57" s="275"/>
      <c r="T57" s="322"/>
      <c r="U57" s="322"/>
      <c r="V57" s="275"/>
      <c r="W57" s="116" t="str">
        <f>Translation!A131</f>
        <v>Input to storage</v>
      </c>
      <c r="X57" s="116" t="str">
        <f>Translation!A132</f>
        <v>Output from storage</v>
      </c>
      <c r="Y57" s="116" t="str">
        <f>Translation!A134</f>
        <v>Import to island</v>
      </c>
      <c r="Z57" s="116" t="str">
        <f>Translation!A135</f>
        <v>Export from island</v>
      </c>
      <c r="AA57" s="293"/>
      <c r="AB57" s="275"/>
      <c r="AC57" s="317"/>
      <c r="AD57" s="275"/>
    </row>
    <row r="58" spans="2:30" s="55" customFormat="1" ht="15.75">
      <c r="B58" s="198" t="str">
        <f>Translation!A123</f>
        <v>Electricity</v>
      </c>
      <c r="C58" s="162"/>
      <c r="D58" s="162"/>
      <c r="E58" s="162"/>
      <c r="F58" s="162"/>
      <c r="G58" s="162"/>
      <c r="H58" s="162"/>
      <c r="I58" s="63">
        <f>SUM(C58:H58)</f>
        <v>0</v>
      </c>
      <c r="J58" s="162"/>
      <c r="K58" s="162"/>
      <c r="L58" s="162"/>
      <c r="M58" s="162"/>
      <c r="N58" s="162"/>
      <c r="O58" s="162"/>
      <c r="P58" s="162"/>
      <c r="Q58" s="162"/>
      <c r="R58" s="63">
        <f>SUM(J58:Q58)</f>
        <v>0</v>
      </c>
      <c r="S58" s="63">
        <f>I58+R58</f>
        <v>0</v>
      </c>
      <c r="T58" s="162"/>
      <c r="U58" s="162"/>
      <c r="V58" s="63">
        <f>-T58</f>
        <v>0</v>
      </c>
      <c r="W58" s="162"/>
      <c r="X58" s="162"/>
      <c r="Y58" s="162">
        <v>48172</v>
      </c>
      <c r="Z58" s="162"/>
      <c r="AA58" s="199">
        <f>$C$49+$C$50+$C$51</f>
        <v>0</v>
      </c>
      <c r="AB58" s="63">
        <f>-SUM(W58)+SUM(X58:Y58)-SUM(Z58:AA58)</f>
        <v>48172</v>
      </c>
      <c r="AC58" s="68">
        <f>S58+V58+AB58</f>
        <v>48172</v>
      </c>
      <c r="AD58" s="200">
        <f>AC58-C48</f>
        <v>4817</v>
      </c>
    </row>
    <row r="59" spans="2:30" s="55" customFormat="1" ht="15.75">
      <c r="B59" s="197" t="str">
        <f>Translation!A124</f>
        <v>Heat</v>
      </c>
      <c r="C59" s="162"/>
      <c r="D59" s="162"/>
      <c r="E59" s="162"/>
      <c r="F59" s="162"/>
      <c r="G59" s="162"/>
      <c r="H59" s="162"/>
      <c r="I59" s="63">
        <f>SUM(C59:H59)</f>
        <v>0</v>
      </c>
      <c r="J59" s="162"/>
      <c r="K59" s="162"/>
      <c r="L59" s="162"/>
      <c r="M59" s="162"/>
      <c r="N59" s="162"/>
      <c r="O59" s="162">
        <v>10006</v>
      </c>
      <c r="P59" s="162"/>
      <c r="Q59" s="162"/>
      <c r="R59" s="63">
        <f>SUM(J59:Q59)</f>
        <v>10006</v>
      </c>
      <c r="S59" s="63">
        <f>I59+R59</f>
        <v>10006</v>
      </c>
      <c r="T59" s="162"/>
      <c r="U59" s="162"/>
      <c r="V59" s="63">
        <f>-U59</f>
        <v>0</v>
      </c>
      <c r="W59" s="162"/>
      <c r="X59" s="162"/>
      <c r="Y59" s="162"/>
      <c r="Z59" s="162"/>
      <c r="AA59" s="199">
        <f>$D$49+$D$50+$D$51</f>
        <v>0</v>
      </c>
      <c r="AB59" s="63">
        <f>-SUM(W59)+SUM(X59:Y59)-SUM(Z59:AA59)</f>
        <v>0</v>
      </c>
      <c r="AC59" s="68">
        <f>S59+V59+AB59</f>
        <v>10006</v>
      </c>
      <c r="AD59" s="200">
        <f>AC59-D48</f>
        <v>1642</v>
      </c>
    </row>
    <row r="60" spans="2:30" s="55" customFormat="1" ht="15.75">
      <c r="B60" s="197" t="str">
        <f>Translation!A125</f>
        <v>Cold</v>
      </c>
      <c r="C60" s="162"/>
      <c r="D60" s="162"/>
      <c r="E60" s="162"/>
      <c r="F60" s="162"/>
      <c r="G60" s="162"/>
      <c r="H60" s="162"/>
      <c r="I60" s="63">
        <f>SUM(C60:H60)</f>
        <v>0</v>
      </c>
      <c r="J60" s="162"/>
      <c r="K60" s="162"/>
      <c r="L60" s="162"/>
      <c r="M60" s="162"/>
      <c r="N60" s="162"/>
      <c r="O60" s="162"/>
      <c r="P60" s="162"/>
      <c r="Q60" s="162"/>
      <c r="R60" s="63">
        <f>SUM(J60:Q60)</f>
        <v>0</v>
      </c>
      <c r="S60" s="63">
        <f>I60+R60</f>
        <v>0</v>
      </c>
      <c r="T60" s="162"/>
      <c r="U60" s="162"/>
      <c r="V60" s="63">
        <f>SUM(T60:U60)</f>
        <v>0</v>
      </c>
      <c r="W60" s="162"/>
      <c r="X60" s="162"/>
      <c r="Y60" s="162"/>
      <c r="Z60" s="162"/>
      <c r="AA60" s="199">
        <f>$E$49+$E$50+$E$51</f>
        <v>0</v>
      </c>
      <c r="AB60" s="63">
        <f>-SUM(W60)+SUM(X60:Y60)-SUM(Z60:AA60)</f>
        <v>0</v>
      </c>
      <c r="AC60" s="68">
        <f>S60+V60+AB60</f>
        <v>0</v>
      </c>
      <c r="AD60" s="200">
        <f>AC60-E48</f>
        <v>0</v>
      </c>
    </row>
    <row r="61" spans="2:30" s="55" customFormat="1" ht="15.75">
      <c r="B61" s="74" t="str">
        <f>Translation!A118</f>
        <v>TOTAL</v>
      </c>
      <c r="C61" s="57">
        <f aca="true" t="shared" si="18" ref="C61:AD61">SUM(C58:C60)</f>
        <v>0</v>
      </c>
      <c r="D61" s="57">
        <f t="shared" si="18"/>
        <v>0</v>
      </c>
      <c r="E61" s="57">
        <f t="shared" si="18"/>
        <v>0</v>
      </c>
      <c r="F61" s="57">
        <f t="shared" si="18"/>
        <v>0</v>
      </c>
      <c r="G61" s="57">
        <f t="shared" si="18"/>
        <v>0</v>
      </c>
      <c r="H61" s="57">
        <f t="shared" si="18"/>
        <v>0</v>
      </c>
      <c r="I61" s="57">
        <f t="shared" si="18"/>
        <v>0</v>
      </c>
      <c r="J61" s="57">
        <f t="shared" si="18"/>
        <v>0</v>
      </c>
      <c r="K61" s="57">
        <f t="shared" si="18"/>
        <v>0</v>
      </c>
      <c r="L61" s="57">
        <f t="shared" si="18"/>
        <v>0</v>
      </c>
      <c r="M61" s="57">
        <f t="shared" si="18"/>
        <v>0</v>
      </c>
      <c r="N61" s="57">
        <f t="shared" si="18"/>
        <v>0</v>
      </c>
      <c r="O61" s="57">
        <f t="shared" si="18"/>
        <v>10006</v>
      </c>
      <c r="P61" s="57">
        <f t="shared" si="18"/>
        <v>0</v>
      </c>
      <c r="Q61" s="57">
        <f t="shared" si="18"/>
        <v>0</v>
      </c>
      <c r="R61" s="57">
        <f t="shared" si="18"/>
        <v>10006</v>
      </c>
      <c r="S61" s="57">
        <f t="shared" si="18"/>
        <v>10006</v>
      </c>
      <c r="T61" s="57">
        <f t="shared" si="18"/>
        <v>0</v>
      </c>
      <c r="U61" s="57">
        <f t="shared" si="18"/>
        <v>0</v>
      </c>
      <c r="V61" s="57">
        <f t="shared" si="18"/>
        <v>0</v>
      </c>
      <c r="W61" s="57">
        <f t="shared" si="18"/>
        <v>0</v>
      </c>
      <c r="X61" s="57">
        <f t="shared" si="18"/>
        <v>0</v>
      </c>
      <c r="Y61" s="57">
        <f t="shared" si="18"/>
        <v>48172</v>
      </c>
      <c r="Z61" s="57">
        <f t="shared" si="18"/>
        <v>0</v>
      </c>
      <c r="AA61" s="57">
        <f t="shared" si="18"/>
        <v>0</v>
      </c>
      <c r="AB61" s="57">
        <f t="shared" si="18"/>
        <v>48172</v>
      </c>
      <c r="AC61" s="57">
        <f t="shared" si="18"/>
        <v>58178</v>
      </c>
      <c r="AD61" s="57">
        <f t="shared" si="18"/>
        <v>6459</v>
      </c>
    </row>
    <row r="62" spans="3:32" s="55" customFormat="1" ht="15">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row>
    <row r="63" spans="2:31" s="90" customFormat="1" ht="31.5">
      <c r="B63" s="91" t="str">
        <f>Translation!A126</f>
        <v>PRIMARY ENERGY CONVERTED TO SECONDARY ENERGY (primary energy consumption)</v>
      </c>
      <c r="C63" s="95"/>
      <c r="D63" s="95"/>
      <c r="E63" s="95"/>
      <c r="F63" s="95"/>
      <c r="G63" s="95"/>
      <c r="H63" s="95"/>
      <c r="I63" s="95"/>
      <c r="J63" s="95"/>
      <c r="K63" s="95"/>
      <c r="L63" s="95"/>
      <c r="M63" s="95"/>
      <c r="N63" s="95"/>
      <c r="O63" s="95"/>
      <c r="P63" s="95"/>
      <c r="Q63" s="95"/>
      <c r="R63" s="95"/>
      <c r="S63" s="92"/>
      <c r="T63" s="92" t="str">
        <f>Translation!$A$21</f>
        <v>[MWh]</v>
      </c>
      <c r="U63" s="96"/>
      <c r="V63" s="96"/>
      <c r="W63" s="97"/>
      <c r="X63" s="96"/>
      <c r="Y63" s="96"/>
      <c r="Z63" s="96"/>
      <c r="AA63" s="96"/>
      <c r="AB63" s="96"/>
      <c r="AC63" s="96"/>
      <c r="AD63" s="96"/>
      <c r="AE63" s="96"/>
    </row>
    <row r="64" spans="2:31" s="55" customFormat="1" ht="30" customHeight="1">
      <c r="B64" s="292" t="str">
        <f>Translation!A120</f>
        <v>PRODUCTION SECTOR</v>
      </c>
      <c r="C64" s="289" t="str">
        <f>Translation!A142</f>
        <v>PRIMARY ENERGY SOURCE</v>
      </c>
      <c r="D64" s="290"/>
      <c r="E64" s="290"/>
      <c r="F64" s="290"/>
      <c r="G64" s="290"/>
      <c r="H64" s="290"/>
      <c r="I64" s="290"/>
      <c r="J64" s="290"/>
      <c r="K64" s="290"/>
      <c r="L64" s="290"/>
      <c r="M64" s="290"/>
      <c r="N64" s="290"/>
      <c r="O64" s="290"/>
      <c r="P64" s="290"/>
      <c r="Q64" s="290"/>
      <c r="R64" s="290"/>
      <c r="S64" s="291"/>
      <c r="T64" s="255" t="str">
        <f>Translation!A127</f>
        <v>Conversion losses from primary to secondary energy</v>
      </c>
      <c r="U64" s="61"/>
      <c r="V64" s="61"/>
      <c r="W64" s="72"/>
      <c r="X64" s="61"/>
      <c r="Y64" s="61"/>
      <c r="Z64" s="61"/>
      <c r="AA64" s="61"/>
      <c r="AB64" s="61"/>
      <c r="AC64" s="61"/>
      <c r="AD64" s="61"/>
      <c r="AE64" s="61"/>
    </row>
    <row r="65" spans="2:31" s="55" customFormat="1" ht="15" customHeight="1">
      <c r="B65" s="293"/>
      <c r="C65" s="289" t="str">
        <f>Translation!A98</f>
        <v>Fossil fuels</v>
      </c>
      <c r="D65" s="290"/>
      <c r="E65" s="290"/>
      <c r="F65" s="290"/>
      <c r="G65" s="290"/>
      <c r="H65" s="290"/>
      <c r="I65" s="291"/>
      <c r="J65" s="289" t="str">
        <f>Translation!A107</f>
        <v>Renewable energy sources</v>
      </c>
      <c r="K65" s="290"/>
      <c r="L65" s="290"/>
      <c r="M65" s="290"/>
      <c r="N65" s="290"/>
      <c r="O65" s="290"/>
      <c r="P65" s="290"/>
      <c r="Q65" s="290"/>
      <c r="R65" s="291"/>
      <c r="S65" s="303" t="str">
        <f>Translation!A118</f>
        <v>TOTAL</v>
      </c>
      <c r="T65" s="256"/>
      <c r="U65" s="61"/>
      <c r="V65" s="61"/>
      <c r="W65" s="72"/>
      <c r="X65" s="61"/>
      <c r="Y65" s="61"/>
      <c r="Z65" s="61"/>
      <c r="AA65" s="61"/>
      <c r="AB65" s="61"/>
      <c r="AC65" s="61"/>
      <c r="AD65" s="61"/>
      <c r="AE65" s="61"/>
    </row>
    <row r="66" spans="2:31" s="55" customFormat="1" ht="69.75" customHeight="1">
      <c r="B66" s="73" t="str">
        <f>Translation!A122</f>
        <v>Energy product</v>
      </c>
      <c r="C66" s="115" t="str">
        <f>Translation!A99</f>
        <v>Fueloil</v>
      </c>
      <c r="D66" s="115" t="str">
        <f>Translation!A100</f>
        <v>Diesel</v>
      </c>
      <c r="E66" s="115" t="str">
        <f>Translation!A101</f>
        <v>Gasoline</v>
      </c>
      <c r="F66" s="115" t="str">
        <f>Translation!A102</f>
        <v>LPG</v>
      </c>
      <c r="G66" s="115" t="str">
        <f>Translation!A103</f>
        <v>Natural gas</v>
      </c>
      <c r="H66" s="115" t="str">
        <f>Translation!A104</f>
        <v>Coal</v>
      </c>
      <c r="I66" s="115" t="str">
        <f>Translation!A116</f>
        <v>Subtotal</v>
      </c>
      <c r="J66" s="115" t="str">
        <f>Translation!A108</f>
        <v>Hydro</v>
      </c>
      <c r="K66" s="115" t="str">
        <f>Translation!A109</f>
        <v>Wind</v>
      </c>
      <c r="L66" s="115" t="str">
        <f>Translation!A110</f>
        <v>Solar</v>
      </c>
      <c r="M66" s="115" t="str">
        <f>Translation!A111</f>
        <v>Geothermal</v>
      </c>
      <c r="N66" s="115" t="str">
        <f>Translation!A112</f>
        <v>Ocean</v>
      </c>
      <c r="O66" s="115" t="str">
        <f>Translation!A113</f>
        <v>Biomass</v>
      </c>
      <c r="P66" s="115" t="str">
        <f>Translation!A114</f>
        <v>Urban waste</v>
      </c>
      <c r="Q66" s="115" t="str">
        <f>Translation!A115</f>
        <v>Energy recovery</v>
      </c>
      <c r="R66" s="115" t="str">
        <f>Translation!A116</f>
        <v>Subtotal</v>
      </c>
      <c r="S66" s="303"/>
      <c r="T66" s="257"/>
      <c r="U66" s="61"/>
      <c r="V66" s="61"/>
      <c r="W66" s="72"/>
      <c r="X66" s="61"/>
      <c r="Y66" s="61"/>
      <c r="Z66" s="61"/>
      <c r="AA66" s="61"/>
      <c r="AB66" s="61"/>
      <c r="AC66" s="61"/>
      <c r="AD66" s="61"/>
      <c r="AE66" s="61"/>
    </row>
    <row r="67" spans="2:31" s="55" customFormat="1" ht="15.75">
      <c r="B67" s="198" t="str">
        <f>Translation!A123</f>
        <v>Electricity</v>
      </c>
      <c r="C67" s="162"/>
      <c r="D67" s="162"/>
      <c r="E67" s="162"/>
      <c r="F67" s="162"/>
      <c r="G67" s="162"/>
      <c r="H67" s="162"/>
      <c r="I67" s="63">
        <f>SUM(C67:H67)</f>
        <v>0</v>
      </c>
      <c r="J67" s="79">
        <f>J58</f>
        <v>0</v>
      </c>
      <c r="K67" s="79">
        <f aca="true" t="shared" si="19" ref="K67:P67">K58</f>
        <v>0</v>
      </c>
      <c r="L67" s="79">
        <f t="shared" si="19"/>
        <v>0</v>
      </c>
      <c r="M67" s="79">
        <f t="shared" si="19"/>
        <v>0</v>
      </c>
      <c r="N67" s="79">
        <f t="shared" si="19"/>
        <v>0</v>
      </c>
      <c r="O67" s="162"/>
      <c r="P67" s="79">
        <f t="shared" si="19"/>
        <v>0</v>
      </c>
      <c r="Q67" s="79"/>
      <c r="R67" s="63">
        <f>SUM(J67:Q67)</f>
        <v>0</v>
      </c>
      <c r="S67" s="63">
        <f>I67+R67</f>
        <v>0</v>
      </c>
      <c r="T67" s="75">
        <f>S67-AC58+AB58</f>
        <v>0</v>
      </c>
      <c r="U67" s="61"/>
      <c r="V67" s="61"/>
      <c r="W67" s="62"/>
      <c r="X67" s="61"/>
      <c r="Y67" s="61"/>
      <c r="Z67" s="61"/>
      <c r="AA67" s="61"/>
      <c r="AB67" s="61"/>
      <c r="AC67" s="61"/>
      <c r="AD67" s="61"/>
      <c r="AE67" s="61"/>
    </row>
    <row r="68" spans="2:31" s="55" customFormat="1" ht="15.75">
      <c r="B68" s="198" t="str">
        <f>Translation!A124</f>
        <v>Heat</v>
      </c>
      <c r="C68" s="162"/>
      <c r="D68" s="162"/>
      <c r="E68" s="162"/>
      <c r="F68" s="162"/>
      <c r="G68" s="162"/>
      <c r="H68" s="162"/>
      <c r="I68" s="63">
        <f>SUM(C68:H68)</f>
        <v>0</v>
      </c>
      <c r="J68" s="79">
        <f aca="true" t="shared" si="20" ref="J68:P68">J59</f>
        <v>0</v>
      </c>
      <c r="K68" s="79">
        <f t="shared" si="20"/>
        <v>0</v>
      </c>
      <c r="L68" s="79">
        <f t="shared" si="20"/>
        <v>0</v>
      </c>
      <c r="M68" s="79">
        <f t="shared" si="20"/>
        <v>0</v>
      </c>
      <c r="N68" s="79">
        <f t="shared" si="20"/>
        <v>0</v>
      </c>
      <c r="O68" s="162">
        <v>12507</v>
      </c>
      <c r="P68" s="79">
        <f t="shared" si="20"/>
        <v>0</v>
      </c>
      <c r="Q68" s="79"/>
      <c r="R68" s="63">
        <f>SUM(J68:Q68)</f>
        <v>12507</v>
      </c>
      <c r="S68" s="63">
        <f>I68+R68</f>
        <v>12507</v>
      </c>
      <c r="T68" s="75">
        <f>S68-AC59+AB59</f>
        <v>2501</v>
      </c>
      <c r="U68" s="61"/>
      <c r="V68" s="61"/>
      <c r="W68" s="62"/>
      <c r="X68" s="61"/>
      <c r="Y68" s="61"/>
      <c r="Z68" s="61"/>
      <c r="AA68" s="61"/>
      <c r="AB68" s="61"/>
      <c r="AC68" s="61"/>
      <c r="AD68" s="61"/>
      <c r="AE68" s="61"/>
    </row>
    <row r="69" spans="2:31" s="55" customFormat="1" ht="15.75">
      <c r="B69" s="198" t="str">
        <f>Translation!A125</f>
        <v>Cold</v>
      </c>
      <c r="C69" s="162"/>
      <c r="D69" s="162"/>
      <c r="E69" s="162"/>
      <c r="F69" s="162"/>
      <c r="G69" s="162"/>
      <c r="H69" s="162"/>
      <c r="I69" s="63">
        <f>SUM(C69:H69)</f>
        <v>0</v>
      </c>
      <c r="J69" s="162"/>
      <c r="K69" s="162"/>
      <c r="L69" s="162"/>
      <c r="M69" s="162"/>
      <c r="N69" s="162"/>
      <c r="O69" s="162"/>
      <c r="P69" s="162"/>
      <c r="Q69" s="162"/>
      <c r="R69" s="63">
        <f>SUM(J69:Q69)</f>
        <v>0</v>
      </c>
      <c r="S69" s="63">
        <f>I69+R69</f>
        <v>0</v>
      </c>
      <c r="T69" s="75">
        <f>S69-AC60+AB60</f>
        <v>0</v>
      </c>
      <c r="U69" s="61"/>
      <c r="V69" s="61"/>
      <c r="W69" s="62"/>
      <c r="X69" s="61"/>
      <c r="Y69" s="61"/>
      <c r="Z69" s="61"/>
      <c r="AA69" s="61"/>
      <c r="AB69" s="61"/>
      <c r="AC69" s="61"/>
      <c r="AD69" s="61"/>
      <c r="AE69" s="61"/>
    </row>
    <row r="70" spans="2:31" s="55" customFormat="1" ht="15.75">
      <c r="B70" s="74" t="str">
        <f>Translation!A118</f>
        <v>TOTAL</v>
      </c>
      <c r="C70" s="57">
        <f aca="true" t="shared" si="21" ref="C70:S70">SUM(C67:C69)</f>
        <v>0</v>
      </c>
      <c r="D70" s="57">
        <f t="shared" si="21"/>
        <v>0</v>
      </c>
      <c r="E70" s="57">
        <f t="shared" si="21"/>
        <v>0</v>
      </c>
      <c r="F70" s="57">
        <f t="shared" si="21"/>
        <v>0</v>
      </c>
      <c r="G70" s="57">
        <f t="shared" si="21"/>
        <v>0</v>
      </c>
      <c r="H70" s="57">
        <f t="shared" si="21"/>
        <v>0</v>
      </c>
      <c r="I70" s="57">
        <f t="shared" si="21"/>
        <v>0</v>
      </c>
      <c r="J70" s="57">
        <f t="shared" si="21"/>
        <v>0</v>
      </c>
      <c r="K70" s="57">
        <f t="shared" si="21"/>
        <v>0</v>
      </c>
      <c r="L70" s="57">
        <f t="shared" si="21"/>
        <v>0</v>
      </c>
      <c r="M70" s="57">
        <f t="shared" si="21"/>
        <v>0</v>
      </c>
      <c r="N70" s="57">
        <f t="shared" si="21"/>
        <v>0</v>
      </c>
      <c r="O70" s="57">
        <f t="shared" si="21"/>
        <v>12507</v>
      </c>
      <c r="P70" s="57">
        <f t="shared" si="21"/>
        <v>0</v>
      </c>
      <c r="Q70" s="57">
        <f t="shared" si="21"/>
        <v>0</v>
      </c>
      <c r="R70" s="57">
        <f t="shared" si="21"/>
        <v>12507</v>
      </c>
      <c r="S70" s="57">
        <f t="shared" si="21"/>
        <v>12507</v>
      </c>
      <c r="T70" s="75">
        <f>S70-AC61+AB61</f>
        <v>2501</v>
      </c>
      <c r="U70" s="61"/>
      <c r="V70" s="61"/>
      <c r="W70" s="60"/>
      <c r="X70" s="61"/>
      <c r="Y70" s="61"/>
      <c r="Z70" s="61"/>
      <c r="AA70" s="61"/>
      <c r="AB70" s="61"/>
      <c r="AC70" s="61"/>
      <c r="AD70" s="61"/>
      <c r="AE70" s="61"/>
    </row>
    <row r="71" s="55" customFormat="1" ht="15">
      <c r="B71" s="56"/>
    </row>
    <row r="72" spans="2:25" s="90" customFormat="1" ht="31.5">
      <c r="B72" s="91" t="str">
        <f>Translation!A143</f>
        <v>PRIMARY ENERGY DEMAND</v>
      </c>
      <c r="C72" s="93"/>
      <c r="D72" s="93"/>
      <c r="E72" s="93"/>
      <c r="F72" s="93"/>
      <c r="G72" s="93"/>
      <c r="H72" s="93"/>
      <c r="I72" s="93"/>
      <c r="J72" s="93"/>
      <c r="K72" s="93"/>
      <c r="L72" s="93"/>
      <c r="M72" s="93"/>
      <c r="N72" s="93"/>
      <c r="O72" s="93"/>
      <c r="P72" s="93"/>
      <c r="Q72" s="93"/>
      <c r="R72" s="93"/>
      <c r="Y72" s="92" t="str">
        <f>Translation!$A$21</f>
        <v>[MWh]</v>
      </c>
    </row>
    <row r="73" spans="2:25" s="55" customFormat="1" ht="30" customHeight="1">
      <c r="B73" s="329" t="str">
        <f>Translation!A122</f>
        <v>Energy product</v>
      </c>
      <c r="C73" s="294" t="str">
        <f>Translation!A142</f>
        <v>PRIMARY ENERGY SOURCE</v>
      </c>
      <c r="D73" s="295"/>
      <c r="E73" s="295"/>
      <c r="F73" s="295"/>
      <c r="G73" s="295"/>
      <c r="H73" s="295"/>
      <c r="I73" s="295"/>
      <c r="J73" s="295"/>
      <c r="K73" s="295"/>
      <c r="L73" s="295"/>
      <c r="M73" s="295"/>
      <c r="N73" s="295"/>
      <c r="O73" s="295"/>
      <c r="P73" s="295"/>
      <c r="Q73" s="295"/>
      <c r="R73" s="295"/>
      <c r="S73" s="295"/>
      <c r="T73" s="295"/>
      <c r="U73" s="295"/>
      <c r="V73" s="295"/>
      <c r="W73" s="295"/>
      <c r="X73" s="295"/>
      <c r="Y73" s="296"/>
    </row>
    <row r="74" spans="2:25" s="55" customFormat="1" ht="15" customHeight="1">
      <c r="B74" s="330"/>
      <c r="C74" s="294" t="str">
        <f>Translation!A98</f>
        <v>Fossil fuels</v>
      </c>
      <c r="D74" s="295"/>
      <c r="E74" s="295"/>
      <c r="F74" s="295"/>
      <c r="G74" s="295"/>
      <c r="H74" s="295"/>
      <c r="I74" s="296"/>
      <c r="J74" s="294" t="str">
        <f>Translation!A107</f>
        <v>Renewable energy sources</v>
      </c>
      <c r="K74" s="295"/>
      <c r="L74" s="295"/>
      <c r="M74" s="295"/>
      <c r="N74" s="295"/>
      <c r="O74" s="295"/>
      <c r="P74" s="295"/>
      <c r="Q74" s="295"/>
      <c r="R74" s="296"/>
      <c r="S74" s="300" t="str">
        <f>Translation!A123</f>
        <v>Electricity</v>
      </c>
      <c r="T74" s="301"/>
      <c r="U74" s="301"/>
      <c r="V74" s="302"/>
      <c r="W74" s="74" t="str">
        <f>Translation!A124</f>
        <v>Heat</v>
      </c>
      <c r="X74" s="74" t="str">
        <f>Translation!A125</f>
        <v>Cold</v>
      </c>
      <c r="Y74" s="292" t="str">
        <f>Translation!A118</f>
        <v>TOTAL</v>
      </c>
    </row>
    <row r="75" spans="2:25" s="55" customFormat="1" ht="46.5" customHeight="1">
      <c r="B75" s="331"/>
      <c r="C75" s="112" t="str">
        <f>Translation!A99</f>
        <v>Fueloil</v>
      </c>
      <c r="D75" s="112" t="str">
        <f>Translation!A100</f>
        <v>Diesel</v>
      </c>
      <c r="E75" s="112" t="str">
        <f>Translation!A101</f>
        <v>Gasoline</v>
      </c>
      <c r="F75" s="112" t="str">
        <f>Translation!A102</f>
        <v>LPG</v>
      </c>
      <c r="G75" s="112" t="str">
        <f>Translation!A103</f>
        <v>Natural gas</v>
      </c>
      <c r="H75" s="112" t="str">
        <f>Translation!A104</f>
        <v>Coal</v>
      </c>
      <c r="I75" s="112" t="str">
        <f>Translation!A116</f>
        <v>Subtotal</v>
      </c>
      <c r="J75" s="112" t="str">
        <f>Translation!A108</f>
        <v>Hydro</v>
      </c>
      <c r="K75" s="112" t="str">
        <f>Translation!A109</f>
        <v>Wind</v>
      </c>
      <c r="L75" s="112" t="str">
        <f>Translation!A110</f>
        <v>Solar</v>
      </c>
      <c r="M75" s="112" t="str">
        <f>Translation!A111</f>
        <v>Geothermal</v>
      </c>
      <c r="N75" s="112" t="str">
        <f>Translation!A112</f>
        <v>Ocean</v>
      </c>
      <c r="O75" s="112" t="str">
        <f>Translation!A113</f>
        <v>Biomass</v>
      </c>
      <c r="P75" s="112" t="str">
        <f>Translation!A114</f>
        <v>Urban waste</v>
      </c>
      <c r="Q75" s="112" t="str">
        <f>Translation!A115</f>
        <v>Energy recovery</v>
      </c>
      <c r="R75" s="112" t="str">
        <f>Translation!A116</f>
        <v>Subtotal</v>
      </c>
      <c r="S75" s="58" t="str">
        <f>Translation!A144</f>
        <v>Imported electricity (cable)</v>
      </c>
      <c r="T75" s="58" t="str">
        <f>Translation!A145</f>
        <v>Exported electricity (cable)</v>
      </c>
      <c r="U75" s="58" t="str">
        <f>Translation!A136</f>
        <v>Reexportation and external consumption</v>
      </c>
      <c r="V75" s="110" t="str">
        <f>Translation!A116</f>
        <v>Subtotal</v>
      </c>
      <c r="W75" s="110" t="str">
        <f>Translation!A136</f>
        <v>Reexportation and external consumption</v>
      </c>
      <c r="X75" s="110" t="str">
        <f>Translation!A136</f>
        <v>Reexportation and external consumption</v>
      </c>
      <c r="Y75" s="293"/>
    </row>
    <row r="76" spans="2:25" s="55" customFormat="1" ht="15.75">
      <c r="B76" s="113" t="str">
        <f>Translation!A118</f>
        <v>TOTAL</v>
      </c>
      <c r="C76" s="199">
        <f aca="true" t="shared" si="22" ref="C76:H76">G48+C70</f>
        <v>469</v>
      </c>
      <c r="D76" s="199">
        <f t="shared" si="22"/>
        <v>25593</v>
      </c>
      <c r="E76" s="199">
        <f t="shared" si="22"/>
        <v>21078</v>
      </c>
      <c r="F76" s="199">
        <f t="shared" si="22"/>
        <v>12</v>
      </c>
      <c r="G76" s="199">
        <f t="shared" si="22"/>
        <v>0</v>
      </c>
      <c r="H76" s="199">
        <f t="shared" si="22"/>
        <v>0</v>
      </c>
      <c r="I76" s="57">
        <f>SUM(C76:H76)</f>
        <v>47152</v>
      </c>
      <c r="J76" s="199">
        <f aca="true" t="shared" si="23" ref="J76:O76">N48+J70</f>
        <v>0</v>
      </c>
      <c r="K76" s="199">
        <f t="shared" si="23"/>
        <v>0</v>
      </c>
      <c r="L76" s="199">
        <f t="shared" si="23"/>
        <v>0</v>
      </c>
      <c r="M76" s="199">
        <f t="shared" si="23"/>
        <v>0</v>
      </c>
      <c r="N76" s="199">
        <f t="shared" si="23"/>
        <v>0</v>
      </c>
      <c r="O76" s="199">
        <f t="shared" si="23"/>
        <v>70207</v>
      </c>
      <c r="P76" s="199">
        <f>P70</f>
        <v>0</v>
      </c>
      <c r="Q76" s="199">
        <f>Q70</f>
        <v>0</v>
      </c>
      <c r="R76" s="57">
        <f>SUM(J76:Q76)</f>
        <v>70207</v>
      </c>
      <c r="S76" s="199">
        <f>Y61</f>
        <v>48172</v>
      </c>
      <c r="T76" s="199">
        <f>Z61</f>
        <v>0</v>
      </c>
      <c r="U76" s="199">
        <f>$C$49+$C$50+$C$51</f>
        <v>0</v>
      </c>
      <c r="V76" s="57">
        <f>S76-T76-U76</f>
        <v>48172</v>
      </c>
      <c r="W76" s="199">
        <f>$D$49+$D$50+$D$51</f>
        <v>0</v>
      </c>
      <c r="X76" s="199">
        <f>$E$49+$E$50+$E$51</f>
        <v>0</v>
      </c>
      <c r="Y76" s="57">
        <f>I76+R76+V76-W76-X76</f>
        <v>165531</v>
      </c>
    </row>
    <row r="77" s="59" customFormat="1" ht="15">
      <c r="B77" s="78"/>
    </row>
    <row r="78" spans="2:32" s="90" customFormat="1" ht="31.5">
      <c r="B78" s="91" t="str">
        <f>Translation!A128</f>
        <v>ENERGY CONVERSION EFFICIENCY</v>
      </c>
      <c r="C78" s="95"/>
      <c r="D78" s="95"/>
      <c r="E78" s="95"/>
      <c r="F78" s="95"/>
      <c r="G78" s="95"/>
      <c r="H78" s="95"/>
      <c r="I78" s="95"/>
      <c r="J78" s="95"/>
      <c r="K78" s="95"/>
      <c r="L78" s="95"/>
      <c r="M78" s="95"/>
      <c r="N78" s="95"/>
      <c r="O78" s="95"/>
      <c r="P78" s="95"/>
      <c r="Q78" s="95"/>
      <c r="R78" s="95"/>
      <c r="S78" s="92" t="str">
        <f>Translation!$A$22</f>
        <v>[%]</v>
      </c>
      <c r="T78" s="97"/>
      <c r="V78" s="96"/>
      <c r="W78" s="96"/>
      <c r="X78" s="97"/>
      <c r="Y78" s="96"/>
      <c r="Z78" s="96"/>
      <c r="AA78" s="96"/>
      <c r="AB78" s="96"/>
      <c r="AC78" s="96"/>
      <c r="AD78" s="96"/>
      <c r="AE78" s="96"/>
      <c r="AF78" s="96"/>
    </row>
    <row r="79" spans="2:32" s="55" customFormat="1" ht="30" customHeight="1">
      <c r="B79" s="292" t="str">
        <f>Translation!A120</f>
        <v>PRODUCTION SECTOR</v>
      </c>
      <c r="C79" s="289" t="str">
        <f>Translation!A142</f>
        <v>PRIMARY ENERGY SOURCE</v>
      </c>
      <c r="D79" s="290"/>
      <c r="E79" s="290"/>
      <c r="F79" s="290"/>
      <c r="G79" s="290"/>
      <c r="H79" s="290"/>
      <c r="I79" s="290"/>
      <c r="J79" s="290"/>
      <c r="K79" s="290"/>
      <c r="L79" s="290"/>
      <c r="M79" s="290"/>
      <c r="N79" s="290"/>
      <c r="O79" s="290"/>
      <c r="P79" s="290"/>
      <c r="Q79" s="290"/>
      <c r="R79" s="290"/>
      <c r="S79" s="291"/>
      <c r="T79" s="72"/>
      <c r="V79" s="61"/>
      <c r="W79" s="61"/>
      <c r="X79" s="72"/>
      <c r="Y79" s="61"/>
      <c r="Z79" s="61"/>
      <c r="AA79" s="61"/>
      <c r="AB79" s="61"/>
      <c r="AC79" s="61"/>
      <c r="AD79" s="61"/>
      <c r="AE79" s="61"/>
      <c r="AF79" s="61"/>
    </row>
    <row r="80" spans="2:32" s="55" customFormat="1" ht="15" customHeight="1">
      <c r="B80" s="293"/>
      <c r="C80" s="289" t="str">
        <f>Translation!A98</f>
        <v>Fossil fuels</v>
      </c>
      <c r="D80" s="290"/>
      <c r="E80" s="290"/>
      <c r="F80" s="290"/>
      <c r="G80" s="290"/>
      <c r="H80" s="290"/>
      <c r="I80" s="291"/>
      <c r="J80" s="289" t="str">
        <f>Translation!A107</f>
        <v>Renewable energy sources</v>
      </c>
      <c r="K80" s="290"/>
      <c r="L80" s="290"/>
      <c r="M80" s="290"/>
      <c r="N80" s="290"/>
      <c r="O80" s="290"/>
      <c r="P80" s="290"/>
      <c r="Q80" s="290"/>
      <c r="R80" s="291"/>
      <c r="S80" s="303" t="str">
        <f>Translation!A118</f>
        <v>TOTAL</v>
      </c>
      <c r="T80" s="72"/>
      <c r="V80" s="61"/>
      <c r="W80" s="61"/>
      <c r="X80" s="72"/>
      <c r="Y80" s="61"/>
      <c r="Z80" s="61"/>
      <c r="AA80" s="61"/>
      <c r="AB80" s="61"/>
      <c r="AC80" s="61"/>
      <c r="AD80" s="61"/>
      <c r="AE80" s="61"/>
      <c r="AF80" s="61"/>
    </row>
    <row r="81" spans="2:32" s="55" customFormat="1" ht="69.75" customHeight="1">
      <c r="B81" s="73" t="str">
        <f>Translation!A122</f>
        <v>Energy product</v>
      </c>
      <c r="C81" s="115" t="str">
        <f>Translation!A99</f>
        <v>Fueloil</v>
      </c>
      <c r="D81" s="115" t="str">
        <f>Translation!A100</f>
        <v>Diesel</v>
      </c>
      <c r="E81" s="115" t="str">
        <f>Translation!A101</f>
        <v>Gasoline</v>
      </c>
      <c r="F81" s="115" t="str">
        <f>Translation!A102</f>
        <v>LPG</v>
      </c>
      <c r="G81" s="115" t="str">
        <f>Translation!A103</f>
        <v>Natural gas</v>
      </c>
      <c r="H81" s="115" t="str">
        <f>Translation!A104</f>
        <v>Coal</v>
      </c>
      <c r="I81" s="115" t="str">
        <f>Translation!A116</f>
        <v>Subtotal</v>
      </c>
      <c r="J81" s="115" t="str">
        <f>Translation!A108</f>
        <v>Hydro</v>
      </c>
      <c r="K81" s="115" t="str">
        <f>Translation!A109</f>
        <v>Wind</v>
      </c>
      <c r="L81" s="115" t="str">
        <f>Translation!A110</f>
        <v>Solar</v>
      </c>
      <c r="M81" s="115" t="str">
        <f>Translation!A111</f>
        <v>Geothermal</v>
      </c>
      <c r="N81" s="115" t="str">
        <f>Translation!A112</f>
        <v>Ocean</v>
      </c>
      <c r="O81" s="115" t="str">
        <f>Translation!A113</f>
        <v>Biomass</v>
      </c>
      <c r="P81" s="115" t="str">
        <f>Translation!A114</f>
        <v>Urban waste</v>
      </c>
      <c r="Q81" s="115" t="str">
        <f>Translation!A115</f>
        <v>Energy recovery</v>
      </c>
      <c r="R81" s="115" t="str">
        <f>Translation!A116</f>
        <v>Subtotal</v>
      </c>
      <c r="S81" s="303"/>
      <c r="T81" s="72"/>
      <c r="V81" s="61"/>
      <c r="W81" s="61"/>
      <c r="X81" s="72"/>
      <c r="Y81" s="61"/>
      <c r="Z81" s="61"/>
      <c r="AA81" s="61"/>
      <c r="AB81" s="61"/>
      <c r="AC81" s="61"/>
      <c r="AD81" s="61"/>
      <c r="AE81" s="61"/>
      <c r="AF81" s="61"/>
    </row>
    <row r="82" spans="2:32" s="55" customFormat="1" ht="15.75">
      <c r="B82" s="198" t="str">
        <f>Translation!A123</f>
        <v>Electricity</v>
      </c>
      <c r="C82" s="201" t="str">
        <f aca="true" t="shared" si="24" ref="C82:P82">IF(C67&gt;0,C58/C67,"-")</f>
        <v>-</v>
      </c>
      <c r="D82" s="201" t="str">
        <f t="shared" si="24"/>
        <v>-</v>
      </c>
      <c r="E82" s="201" t="str">
        <f t="shared" si="24"/>
        <v>-</v>
      </c>
      <c r="F82" s="201" t="str">
        <f t="shared" si="24"/>
        <v>-</v>
      </c>
      <c r="G82" s="201" t="str">
        <f t="shared" si="24"/>
        <v>-</v>
      </c>
      <c r="H82" s="201" t="str">
        <f t="shared" si="24"/>
        <v>-</v>
      </c>
      <c r="I82" s="71" t="str">
        <f t="shared" si="24"/>
        <v>-</v>
      </c>
      <c r="J82" s="201" t="str">
        <f t="shared" si="24"/>
        <v>-</v>
      </c>
      <c r="K82" s="201" t="str">
        <f t="shared" si="24"/>
        <v>-</v>
      </c>
      <c r="L82" s="201" t="str">
        <f t="shared" si="24"/>
        <v>-</v>
      </c>
      <c r="M82" s="201" t="str">
        <f t="shared" si="24"/>
        <v>-</v>
      </c>
      <c r="N82" s="201" t="str">
        <f t="shared" si="24"/>
        <v>-</v>
      </c>
      <c r="O82" s="201" t="str">
        <f t="shared" si="24"/>
        <v>-</v>
      </c>
      <c r="P82" s="201" t="str">
        <f t="shared" si="24"/>
        <v>-</v>
      </c>
      <c r="Q82" s="201" t="s">
        <v>138</v>
      </c>
      <c r="R82" s="71" t="str">
        <f aca="true" t="shared" si="25" ref="R82:S84">IF(R67&gt;0,R58/R67,"-")</f>
        <v>-</v>
      </c>
      <c r="S82" s="71" t="str">
        <f t="shared" si="25"/>
        <v>-</v>
      </c>
      <c r="T82" s="62"/>
      <c r="V82" s="61"/>
      <c r="W82" s="61"/>
      <c r="X82" s="62"/>
      <c r="Y82" s="61"/>
      <c r="Z82" s="61"/>
      <c r="AA82" s="61"/>
      <c r="AB82" s="61"/>
      <c r="AC82" s="61"/>
      <c r="AD82" s="61"/>
      <c r="AE82" s="61"/>
      <c r="AF82" s="61"/>
    </row>
    <row r="83" spans="2:32" s="55" customFormat="1" ht="15.75">
      <c r="B83" s="198" t="str">
        <f>Translation!A124</f>
        <v>Heat</v>
      </c>
      <c r="C83" s="201" t="str">
        <f aca="true" t="shared" si="26" ref="C83:P83">IF(C68&gt;0,C59/C68,"-")</f>
        <v>-</v>
      </c>
      <c r="D83" s="201" t="str">
        <f t="shared" si="26"/>
        <v>-</v>
      </c>
      <c r="E83" s="201" t="str">
        <f t="shared" si="26"/>
        <v>-</v>
      </c>
      <c r="F83" s="201" t="str">
        <f t="shared" si="26"/>
        <v>-</v>
      </c>
      <c r="G83" s="201" t="str">
        <f t="shared" si="26"/>
        <v>-</v>
      </c>
      <c r="H83" s="201" t="str">
        <f t="shared" si="26"/>
        <v>-</v>
      </c>
      <c r="I83" s="71" t="str">
        <f t="shared" si="26"/>
        <v>-</v>
      </c>
      <c r="J83" s="201" t="str">
        <f t="shared" si="26"/>
        <v>-</v>
      </c>
      <c r="K83" s="201" t="str">
        <f t="shared" si="26"/>
        <v>-</v>
      </c>
      <c r="L83" s="201" t="str">
        <f t="shared" si="26"/>
        <v>-</v>
      </c>
      <c r="M83" s="201" t="str">
        <f t="shared" si="26"/>
        <v>-</v>
      </c>
      <c r="N83" s="201" t="str">
        <f t="shared" si="26"/>
        <v>-</v>
      </c>
      <c r="O83" s="201">
        <f t="shared" si="26"/>
        <v>0.8000319820900296</v>
      </c>
      <c r="P83" s="201" t="str">
        <f t="shared" si="26"/>
        <v>-</v>
      </c>
      <c r="Q83" s="201" t="s">
        <v>138</v>
      </c>
      <c r="R83" s="71">
        <f t="shared" si="25"/>
        <v>0.8000319820900296</v>
      </c>
      <c r="S83" s="71">
        <f t="shared" si="25"/>
        <v>0.8000319820900296</v>
      </c>
      <c r="T83" s="62"/>
      <c r="V83" s="61"/>
      <c r="W83" s="61"/>
      <c r="X83" s="62"/>
      <c r="Y83" s="61"/>
      <c r="Z83" s="61"/>
      <c r="AA83" s="61"/>
      <c r="AB83" s="61"/>
      <c r="AC83" s="61"/>
      <c r="AD83" s="61"/>
      <c r="AE83" s="61"/>
      <c r="AF83" s="61"/>
    </row>
    <row r="84" spans="2:32" s="55" customFormat="1" ht="15.75">
      <c r="B84" s="198" t="str">
        <f>Translation!A125</f>
        <v>Cold</v>
      </c>
      <c r="C84" s="201" t="str">
        <f aca="true" t="shared" si="27" ref="C84:P84">IF(C69&gt;0,C60/C69,"-")</f>
        <v>-</v>
      </c>
      <c r="D84" s="201" t="str">
        <f t="shared" si="27"/>
        <v>-</v>
      </c>
      <c r="E84" s="201" t="str">
        <f t="shared" si="27"/>
        <v>-</v>
      </c>
      <c r="F84" s="201" t="str">
        <f t="shared" si="27"/>
        <v>-</v>
      </c>
      <c r="G84" s="201" t="str">
        <f t="shared" si="27"/>
        <v>-</v>
      </c>
      <c r="H84" s="201" t="str">
        <f t="shared" si="27"/>
        <v>-</v>
      </c>
      <c r="I84" s="71" t="str">
        <f t="shared" si="27"/>
        <v>-</v>
      </c>
      <c r="J84" s="201" t="str">
        <f t="shared" si="27"/>
        <v>-</v>
      </c>
      <c r="K84" s="201" t="str">
        <f t="shared" si="27"/>
        <v>-</v>
      </c>
      <c r="L84" s="201" t="str">
        <f t="shared" si="27"/>
        <v>-</v>
      </c>
      <c r="M84" s="201" t="str">
        <f t="shared" si="27"/>
        <v>-</v>
      </c>
      <c r="N84" s="201" t="str">
        <f t="shared" si="27"/>
        <v>-</v>
      </c>
      <c r="O84" s="201" t="str">
        <f t="shared" si="27"/>
        <v>-</v>
      </c>
      <c r="P84" s="201" t="str">
        <f t="shared" si="27"/>
        <v>-</v>
      </c>
      <c r="Q84" s="201" t="s">
        <v>138</v>
      </c>
      <c r="R84" s="71" t="str">
        <f t="shared" si="25"/>
        <v>-</v>
      </c>
      <c r="S84" s="71" t="str">
        <f t="shared" si="25"/>
        <v>-</v>
      </c>
      <c r="T84" s="62"/>
      <c r="V84" s="61"/>
      <c r="W84" s="61"/>
      <c r="X84" s="62"/>
      <c r="Y84" s="61"/>
      <c r="Z84" s="61"/>
      <c r="AA84" s="61"/>
      <c r="AB84" s="61"/>
      <c r="AC84" s="61"/>
      <c r="AD84" s="61"/>
      <c r="AE84" s="61"/>
      <c r="AF84" s="61"/>
    </row>
    <row r="85" s="55" customFormat="1" ht="40.5" customHeight="1">
      <c r="B85" s="56"/>
    </row>
    <row r="86" spans="1:14" s="133" customFormat="1" ht="36">
      <c r="A86" s="131" t="s">
        <v>1099</v>
      </c>
      <c r="B86" s="132" t="str">
        <f>Translation!A152</f>
        <v>RESULTS OF EMISSION INVENTORY</v>
      </c>
      <c r="C86" s="131"/>
      <c r="D86" s="132"/>
      <c r="E86" s="131"/>
      <c r="F86" s="132"/>
      <c r="G86" s="131"/>
      <c r="H86" s="132"/>
      <c r="I86" s="131"/>
      <c r="J86" s="132"/>
      <c r="K86" s="149"/>
      <c r="L86" s="149"/>
      <c r="M86" s="149"/>
      <c r="N86" s="149"/>
    </row>
    <row r="87" spans="2:21" s="90" customFormat="1" ht="31.5">
      <c r="B87" s="91" t="str">
        <f>Translation!A148</f>
        <v>CO2 EMISSIONS FROM FINAL USE</v>
      </c>
      <c r="C87" s="98"/>
      <c r="D87" s="98"/>
      <c r="E87" s="98"/>
      <c r="F87" s="98"/>
      <c r="G87" s="98"/>
      <c r="H87" s="98"/>
      <c r="I87" s="98"/>
      <c r="J87" s="98"/>
      <c r="K87" s="98"/>
      <c r="L87" s="98"/>
      <c r="M87" s="98"/>
      <c r="N87" s="98"/>
      <c r="O87" s="98"/>
      <c r="P87" s="98"/>
      <c r="Q87" s="98"/>
      <c r="R87" s="98"/>
      <c r="S87" s="98"/>
      <c r="T87" s="98"/>
      <c r="U87" s="99" t="str">
        <f>Translation!$A$17</f>
        <v>[t CO2]</v>
      </c>
    </row>
    <row r="88" spans="2:21" s="55" customFormat="1" ht="33" customHeight="1">
      <c r="B88" s="321" t="str">
        <f>Translation!A56</f>
        <v>DEMAND SECTOR</v>
      </c>
      <c r="C88" s="297" t="str">
        <f>Translation!A93</f>
        <v>ENERGY FOR FINAL USE</v>
      </c>
      <c r="D88" s="298"/>
      <c r="E88" s="298"/>
      <c r="F88" s="298"/>
      <c r="G88" s="298"/>
      <c r="H88" s="298"/>
      <c r="I88" s="298"/>
      <c r="J88" s="298"/>
      <c r="K88" s="298"/>
      <c r="L88" s="298"/>
      <c r="M88" s="298"/>
      <c r="N88" s="298"/>
      <c r="O88" s="298"/>
      <c r="P88" s="298"/>
      <c r="Q88" s="298"/>
      <c r="R88" s="298"/>
      <c r="S88" s="298"/>
      <c r="T88" s="298"/>
      <c r="U88" s="299"/>
    </row>
    <row r="89" spans="2:21" s="55" customFormat="1" ht="18" customHeight="1">
      <c r="B89" s="322"/>
      <c r="C89" s="297" t="str">
        <f>Translation!A94</f>
        <v>Centralized energy services</v>
      </c>
      <c r="D89" s="298"/>
      <c r="E89" s="298"/>
      <c r="F89" s="299"/>
      <c r="G89" s="297" t="str">
        <f>Translation!A98</f>
        <v>Fossil fuels</v>
      </c>
      <c r="H89" s="298"/>
      <c r="I89" s="298"/>
      <c r="J89" s="298"/>
      <c r="K89" s="298"/>
      <c r="L89" s="298"/>
      <c r="M89" s="299"/>
      <c r="N89" s="297" t="str">
        <f>Translation!A105</f>
        <v>Renewable energy sources (excluding electricity and heat sold to public networks)</v>
      </c>
      <c r="O89" s="298"/>
      <c r="P89" s="298"/>
      <c r="Q89" s="298"/>
      <c r="R89" s="298"/>
      <c r="S89" s="298"/>
      <c r="T89" s="299"/>
      <c r="U89" s="313" t="str">
        <f>Translation!A118</f>
        <v>TOTAL</v>
      </c>
    </row>
    <row r="90" spans="2:21" s="55" customFormat="1" ht="67.5" customHeight="1">
      <c r="B90" s="65" t="str">
        <f>Translation!A58</f>
        <v>Sector description</v>
      </c>
      <c r="C90" s="111" t="str">
        <f>Translation!A95</f>
        <v>Electricity from public grid</v>
      </c>
      <c r="D90" s="111" t="str">
        <f>Translation!A96</f>
        <v>Heat from district heating</v>
      </c>
      <c r="E90" s="111" t="str">
        <f>Translation!A97</f>
        <v>Cold from district cooling</v>
      </c>
      <c r="F90" s="111" t="str">
        <f>Translation!A116</f>
        <v>Subtotal</v>
      </c>
      <c r="G90" s="111" t="str">
        <f>Translation!A99</f>
        <v>Fueloil</v>
      </c>
      <c r="H90" s="111" t="str">
        <f>Translation!A100</f>
        <v>Diesel</v>
      </c>
      <c r="I90" s="111" t="str">
        <f>Translation!A101</f>
        <v>Gasoline</v>
      </c>
      <c r="J90" s="111" t="str">
        <f>Translation!A102</f>
        <v>LPG</v>
      </c>
      <c r="K90" s="111" t="str">
        <f>Translation!A103</f>
        <v>Natural gas</v>
      </c>
      <c r="L90" s="111" t="str">
        <f>Translation!A104</f>
        <v>Coal</v>
      </c>
      <c r="M90" s="111" t="str">
        <f>Translation!A116</f>
        <v>Subtotal</v>
      </c>
      <c r="N90" s="111" t="str">
        <f>Translation!A108</f>
        <v>Hydro</v>
      </c>
      <c r="O90" s="111" t="str">
        <f>Translation!A109</f>
        <v>Wind</v>
      </c>
      <c r="P90" s="111" t="str">
        <f>Translation!A110</f>
        <v>Solar</v>
      </c>
      <c r="Q90" s="111" t="str">
        <f>Translation!A111</f>
        <v>Geothermal</v>
      </c>
      <c r="R90" s="111" t="str">
        <f>Translation!A112</f>
        <v>Ocean</v>
      </c>
      <c r="S90" s="111" t="str">
        <f>Translation!A113</f>
        <v>Biomass</v>
      </c>
      <c r="T90" s="111" t="str">
        <f>Translation!A116</f>
        <v>Subtotal</v>
      </c>
      <c r="U90" s="315"/>
    </row>
    <row r="91" spans="1:21" s="21" customFormat="1" ht="15.75">
      <c r="A91" s="22"/>
      <c r="B91" s="70" t="str">
        <f>Translation!A59</f>
        <v>RESIDENTIAL</v>
      </c>
      <c r="C91" s="68">
        <f>SUM(C92:C100)</f>
        <v>8794.137209549073</v>
      </c>
      <c r="D91" s="68">
        <f>SUM(D92:D100)</f>
        <v>0</v>
      </c>
      <c r="E91" s="68">
        <f>SUM(E92:E100)</f>
        <v>0</v>
      </c>
      <c r="F91" s="68">
        <f aca="true" t="shared" si="28" ref="F91:F122">SUM(C91:E91)</f>
        <v>8794.137209549073</v>
      </c>
      <c r="G91" s="68">
        <f aca="true" t="shared" si="29" ref="G91:L91">SUM(G92:G100)</f>
        <v>130.851</v>
      </c>
      <c r="H91" s="68">
        <f t="shared" si="29"/>
        <v>0</v>
      </c>
      <c r="I91" s="68">
        <f t="shared" si="29"/>
        <v>0</v>
      </c>
      <c r="J91" s="68">
        <f t="shared" si="29"/>
        <v>2.88</v>
      </c>
      <c r="K91" s="68">
        <f t="shared" si="29"/>
        <v>0</v>
      </c>
      <c r="L91" s="68">
        <f t="shared" si="29"/>
        <v>0</v>
      </c>
      <c r="M91" s="68">
        <f aca="true" t="shared" si="30" ref="M91:M122">SUM(G91:L91)</f>
        <v>133.731</v>
      </c>
      <c r="N91" s="68">
        <f aca="true" t="shared" si="31" ref="N91:S91">SUM(N92:N100)</f>
        <v>0</v>
      </c>
      <c r="O91" s="68">
        <f t="shared" si="31"/>
        <v>0</v>
      </c>
      <c r="P91" s="68">
        <f t="shared" si="31"/>
        <v>0</v>
      </c>
      <c r="Q91" s="68">
        <f t="shared" si="31"/>
        <v>0</v>
      </c>
      <c r="R91" s="68">
        <f t="shared" si="31"/>
        <v>0</v>
      </c>
      <c r="S91" s="68">
        <f t="shared" si="31"/>
        <v>0</v>
      </c>
      <c r="T91" s="68">
        <f aca="true" t="shared" si="32" ref="T91:T122">SUM(N91:S91)</f>
        <v>0</v>
      </c>
      <c r="U91" s="68">
        <f aca="true" t="shared" si="33" ref="U91:U122">F91+M91+T91</f>
        <v>8927.868209549073</v>
      </c>
    </row>
    <row r="92" spans="1:21" s="21" customFormat="1" ht="15.75">
      <c r="A92" s="22"/>
      <c r="B92" s="196" t="str">
        <f>Translation!A60</f>
        <v>Domestic uses</v>
      </c>
      <c r="C92" s="79">
        <f>IF(AND(C$48&gt;0,($S$128+$V$137)&gt;0),($S$128+$V$137)/C$48,0)*C18</f>
        <v>8794.137209549073</v>
      </c>
      <c r="D92" s="79">
        <f>IF(AND(D$48&gt;0,$S$129&gt;0),($S$129)/D$48,0)*D18</f>
        <v>0</v>
      </c>
      <c r="E92" s="79">
        <f>IF(AND(E$48&gt;0,$S$130&gt;0),($S$130)/E$48,0)*E18</f>
        <v>0</v>
      </c>
      <c r="F92" s="68">
        <f t="shared" si="28"/>
        <v>8794.137209549073</v>
      </c>
      <c r="G92" s="79">
        <f>'CO2 factors'!C$7*G18</f>
        <v>130.851</v>
      </c>
      <c r="H92" s="79">
        <f>'CO2 factors'!D$7*H18</f>
        <v>0</v>
      </c>
      <c r="I92" s="79">
        <f>'CO2 factors'!E$7*I18</f>
        <v>0</v>
      </c>
      <c r="J92" s="79">
        <f>'CO2 factors'!F$7*J18</f>
        <v>2.88</v>
      </c>
      <c r="K92" s="79">
        <f>'CO2 factors'!G$7*K18</f>
        <v>0</v>
      </c>
      <c r="L92" s="79">
        <f>'CO2 factors'!H$7*L18</f>
        <v>0</v>
      </c>
      <c r="M92" s="68">
        <f t="shared" si="30"/>
        <v>133.731</v>
      </c>
      <c r="N92" s="79">
        <f>'CO2 factors'!J$7*N18</f>
        <v>0</v>
      </c>
      <c r="O92" s="79">
        <f>'CO2 factors'!K$7*O18</f>
        <v>0</v>
      </c>
      <c r="P92" s="79">
        <f>'CO2 factors'!L$7*P18</f>
        <v>0</v>
      </c>
      <c r="Q92" s="79">
        <f>'CO2 factors'!M$7*Q18</f>
        <v>0</v>
      </c>
      <c r="R92" s="79">
        <f>'CO2 factors'!N$7*R18</f>
        <v>0</v>
      </c>
      <c r="S92" s="79">
        <f>'CO2 factors'!O$7*S18</f>
        <v>0</v>
      </c>
      <c r="T92" s="68">
        <f t="shared" si="32"/>
        <v>0</v>
      </c>
      <c r="U92" s="68">
        <f t="shared" si="33"/>
        <v>8927.868209549073</v>
      </c>
    </row>
    <row r="93" spans="1:21" s="21" customFormat="1" ht="15.75" hidden="1">
      <c r="A93" s="22"/>
      <c r="B93" s="196">
        <f>Translation!A61</f>
      </c>
      <c r="C93" s="79">
        <f aca="true" t="shared" si="34" ref="C93:C100">IF(AND(C$48&gt;0,($S$128+$V$137)&gt;0),($S$128+$V$137)/C$48,0)*C19</f>
        <v>0</v>
      </c>
      <c r="D93" s="79">
        <f aca="true" t="shared" si="35" ref="D93:D100">IF(AND(D$48&gt;0,$S$129&gt;0),($S$129)/D$48,0)*D19</f>
        <v>0</v>
      </c>
      <c r="E93" s="79">
        <f aca="true" t="shared" si="36" ref="E93:E100">IF(AND(E$48&gt;0,$S$130&gt;0),($S$130)/E$48,0)*E19</f>
        <v>0</v>
      </c>
      <c r="F93" s="68">
        <f t="shared" si="28"/>
        <v>0</v>
      </c>
      <c r="G93" s="79">
        <f>'CO2 factors'!C$7*G19</f>
        <v>0</v>
      </c>
      <c r="H93" s="79">
        <f>'CO2 factors'!D$7*H19</f>
        <v>0</v>
      </c>
      <c r="I93" s="79">
        <f>'CO2 factors'!E$7*I19</f>
        <v>0</v>
      </c>
      <c r="J93" s="79">
        <f>'CO2 factors'!F$7*J19</f>
        <v>0</v>
      </c>
      <c r="K93" s="79">
        <f>'CO2 factors'!G$7*K19</f>
        <v>0</v>
      </c>
      <c r="L93" s="79">
        <f>'CO2 factors'!H$7*L19</f>
        <v>0</v>
      </c>
      <c r="M93" s="68">
        <f t="shared" si="30"/>
        <v>0</v>
      </c>
      <c r="N93" s="79">
        <f>'CO2 factors'!J$7*N19</f>
        <v>0</v>
      </c>
      <c r="O93" s="79">
        <f>'CO2 factors'!K$7*O19</f>
        <v>0</v>
      </c>
      <c r="P93" s="79">
        <f>'CO2 factors'!L$7*P19</f>
        <v>0</v>
      </c>
      <c r="Q93" s="79">
        <f>'CO2 factors'!M$7*Q19</f>
        <v>0</v>
      </c>
      <c r="R93" s="79">
        <f>'CO2 factors'!N$7*R19</f>
        <v>0</v>
      </c>
      <c r="S93" s="79">
        <f>'CO2 factors'!O$7*S19</f>
        <v>0</v>
      </c>
      <c r="T93" s="68">
        <f t="shared" si="32"/>
        <v>0</v>
      </c>
      <c r="U93" s="68">
        <f t="shared" si="33"/>
        <v>0</v>
      </c>
    </row>
    <row r="94" spans="1:21" s="21" customFormat="1" ht="15.75" hidden="1">
      <c r="A94" s="22"/>
      <c r="B94" s="196">
        <f>Translation!A62</f>
      </c>
      <c r="C94" s="79">
        <f t="shared" si="34"/>
        <v>0</v>
      </c>
      <c r="D94" s="79">
        <f t="shared" si="35"/>
        <v>0</v>
      </c>
      <c r="E94" s="79">
        <f t="shared" si="36"/>
        <v>0</v>
      </c>
      <c r="F94" s="68">
        <f t="shared" si="28"/>
        <v>0</v>
      </c>
      <c r="G94" s="79">
        <f>'CO2 factors'!C$7*G20</f>
        <v>0</v>
      </c>
      <c r="H94" s="79">
        <f>'CO2 factors'!D$7*H20</f>
        <v>0</v>
      </c>
      <c r="I94" s="79">
        <f>'CO2 factors'!E$7*I20</f>
        <v>0</v>
      </c>
      <c r="J94" s="79">
        <f>'CO2 factors'!F$7*J20</f>
        <v>0</v>
      </c>
      <c r="K94" s="79">
        <f>'CO2 factors'!G$7*K20</f>
        <v>0</v>
      </c>
      <c r="L94" s="79">
        <f>'CO2 factors'!H$7*L20</f>
        <v>0</v>
      </c>
      <c r="M94" s="68">
        <f t="shared" si="30"/>
        <v>0</v>
      </c>
      <c r="N94" s="79">
        <f>'CO2 factors'!J$7*N20</f>
        <v>0</v>
      </c>
      <c r="O94" s="79">
        <f>'CO2 factors'!K$7*O20</f>
        <v>0</v>
      </c>
      <c r="P94" s="79">
        <f>'CO2 factors'!L$7*P20</f>
        <v>0</v>
      </c>
      <c r="Q94" s="79">
        <f>'CO2 factors'!M$7*Q20</f>
        <v>0</v>
      </c>
      <c r="R94" s="79">
        <f>'CO2 factors'!N$7*R20</f>
        <v>0</v>
      </c>
      <c r="S94" s="79">
        <f>'CO2 factors'!O$7*S20</f>
        <v>0</v>
      </c>
      <c r="T94" s="68">
        <f t="shared" si="32"/>
        <v>0</v>
      </c>
      <c r="U94" s="68">
        <f t="shared" si="33"/>
        <v>0</v>
      </c>
    </row>
    <row r="95" spans="1:21" s="21" customFormat="1" ht="15.75" hidden="1">
      <c r="A95" s="22"/>
      <c r="B95" s="196">
        <f>Translation!A63</f>
      </c>
      <c r="C95" s="79">
        <f t="shared" si="34"/>
        <v>0</v>
      </c>
      <c r="D95" s="79">
        <f t="shared" si="35"/>
        <v>0</v>
      </c>
      <c r="E95" s="79">
        <f t="shared" si="36"/>
        <v>0</v>
      </c>
      <c r="F95" s="68">
        <f t="shared" si="28"/>
        <v>0</v>
      </c>
      <c r="G95" s="79">
        <f>'CO2 factors'!C$7*G21</f>
        <v>0</v>
      </c>
      <c r="H95" s="79">
        <f>'CO2 factors'!D$7*H21</f>
        <v>0</v>
      </c>
      <c r="I95" s="79">
        <f>'CO2 factors'!E$7*I21</f>
        <v>0</v>
      </c>
      <c r="J95" s="79">
        <f>'CO2 factors'!F$7*J21</f>
        <v>0</v>
      </c>
      <c r="K95" s="79">
        <f>'CO2 factors'!G$7*K21</f>
        <v>0</v>
      </c>
      <c r="L95" s="79">
        <f>'CO2 factors'!H$7*L21</f>
        <v>0</v>
      </c>
      <c r="M95" s="68">
        <f t="shared" si="30"/>
        <v>0</v>
      </c>
      <c r="N95" s="79">
        <f>'CO2 factors'!J$7*N21</f>
        <v>0</v>
      </c>
      <c r="O95" s="79">
        <f>'CO2 factors'!K$7*O21</f>
        <v>0</v>
      </c>
      <c r="P95" s="79">
        <f>'CO2 factors'!L$7*P21</f>
        <v>0</v>
      </c>
      <c r="Q95" s="79">
        <f>'CO2 factors'!M$7*Q21</f>
        <v>0</v>
      </c>
      <c r="R95" s="79">
        <f>'CO2 factors'!N$7*R21</f>
        <v>0</v>
      </c>
      <c r="S95" s="79">
        <f>'CO2 factors'!O$7*S21</f>
        <v>0</v>
      </c>
      <c r="T95" s="68">
        <f t="shared" si="32"/>
        <v>0</v>
      </c>
      <c r="U95" s="68">
        <f t="shared" si="33"/>
        <v>0</v>
      </c>
    </row>
    <row r="96" spans="1:21" s="21" customFormat="1" ht="15.75" hidden="1">
      <c r="A96" s="22"/>
      <c r="B96" s="196">
        <f>Translation!A64</f>
      </c>
      <c r="C96" s="79">
        <f t="shared" si="34"/>
        <v>0</v>
      </c>
      <c r="D96" s="79">
        <f t="shared" si="35"/>
        <v>0</v>
      </c>
      <c r="E96" s="79">
        <f t="shared" si="36"/>
        <v>0</v>
      </c>
      <c r="F96" s="68">
        <f t="shared" si="28"/>
        <v>0</v>
      </c>
      <c r="G96" s="79">
        <f>'CO2 factors'!C$7*G22</f>
        <v>0</v>
      </c>
      <c r="H96" s="79">
        <f>'CO2 factors'!D$7*H22</f>
        <v>0</v>
      </c>
      <c r="I96" s="79">
        <f>'CO2 factors'!E$7*I22</f>
        <v>0</v>
      </c>
      <c r="J96" s="79">
        <f>'CO2 factors'!F$7*J22</f>
        <v>0</v>
      </c>
      <c r="K96" s="79">
        <f>'CO2 factors'!G$7*K22</f>
        <v>0</v>
      </c>
      <c r="L96" s="79">
        <f>'CO2 factors'!H$7*L22</f>
        <v>0</v>
      </c>
      <c r="M96" s="68">
        <f t="shared" si="30"/>
        <v>0</v>
      </c>
      <c r="N96" s="79">
        <f>'CO2 factors'!J$7*N22</f>
        <v>0</v>
      </c>
      <c r="O96" s="79">
        <f>'CO2 factors'!K$7*O22</f>
        <v>0</v>
      </c>
      <c r="P96" s="79">
        <f>'CO2 factors'!L$7*P22</f>
        <v>0</v>
      </c>
      <c r="Q96" s="79">
        <f>'CO2 factors'!M$7*Q22</f>
        <v>0</v>
      </c>
      <c r="R96" s="79">
        <f>'CO2 factors'!N$7*R22</f>
        <v>0</v>
      </c>
      <c r="S96" s="79">
        <f>'CO2 factors'!O$7*S22</f>
        <v>0</v>
      </c>
      <c r="T96" s="68">
        <f t="shared" si="32"/>
        <v>0</v>
      </c>
      <c r="U96" s="68">
        <f t="shared" si="33"/>
        <v>0</v>
      </c>
    </row>
    <row r="97" spans="1:21" s="21" customFormat="1" ht="15.75" hidden="1">
      <c r="A97" s="22"/>
      <c r="B97" s="196">
        <f>Translation!A65</f>
      </c>
      <c r="C97" s="79">
        <f t="shared" si="34"/>
        <v>0</v>
      </c>
      <c r="D97" s="79">
        <f t="shared" si="35"/>
        <v>0</v>
      </c>
      <c r="E97" s="79">
        <f t="shared" si="36"/>
        <v>0</v>
      </c>
      <c r="F97" s="68">
        <f t="shared" si="28"/>
        <v>0</v>
      </c>
      <c r="G97" s="79">
        <f>'CO2 factors'!C$7*G23</f>
        <v>0</v>
      </c>
      <c r="H97" s="79">
        <f>'CO2 factors'!D$7*H23</f>
        <v>0</v>
      </c>
      <c r="I97" s="79">
        <f>'CO2 factors'!E$7*I23</f>
        <v>0</v>
      </c>
      <c r="J97" s="79">
        <f>'CO2 factors'!F$7*J23</f>
        <v>0</v>
      </c>
      <c r="K97" s="79">
        <f>'CO2 factors'!G$7*K23</f>
        <v>0</v>
      </c>
      <c r="L97" s="79">
        <f>'CO2 factors'!H$7*L23</f>
        <v>0</v>
      </c>
      <c r="M97" s="68">
        <f t="shared" si="30"/>
        <v>0</v>
      </c>
      <c r="N97" s="79">
        <f>'CO2 factors'!J$7*N23</f>
        <v>0</v>
      </c>
      <c r="O97" s="79">
        <f>'CO2 factors'!K$7*O23</f>
        <v>0</v>
      </c>
      <c r="P97" s="79">
        <f>'CO2 factors'!L$7*P23</f>
        <v>0</v>
      </c>
      <c r="Q97" s="79">
        <f>'CO2 factors'!M$7*Q23</f>
        <v>0</v>
      </c>
      <c r="R97" s="79">
        <f>'CO2 factors'!N$7*R23</f>
        <v>0</v>
      </c>
      <c r="S97" s="79">
        <f>'CO2 factors'!O$7*S23</f>
        <v>0</v>
      </c>
      <c r="T97" s="68">
        <f t="shared" si="32"/>
        <v>0</v>
      </c>
      <c r="U97" s="68">
        <f t="shared" si="33"/>
        <v>0</v>
      </c>
    </row>
    <row r="98" spans="1:21" s="21" customFormat="1" ht="15.75" hidden="1">
      <c r="A98" s="22"/>
      <c r="B98" s="196">
        <f>Translation!A66</f>
      </c>
      <c r="C98" s="79">
        <f t="shared" si="34"/>
        <v>0</v>
      </c>
      <c r="D98" s="79">
        <f t="shared" si="35"/>
        <v>0</v>
      </c>
      <c r="E98" s="79">
        <f t="shared" si="36"/>
        <v>0</v>
      </c>
      <c r="F98" s="68">
        <f t="shared" si="28"/>
        <v>0</v>
      </c>
      <c r="G98" s="79">
        <f>'CO2 factors'!C$7*G24</f>
        <v>0</v>
      </c>
      <c r="H98" s="79">
        <f>'CO2 factors'!D$7*H24</f>
        <v>0</v>
      </c>
      <c r="I98" s="79">
        <f>'CO2 factors'!E$7*I24</f>
        <v>0</v>
      </c>
      <c r="J98" s="79">
        <f>'CO2 factors'!F$7*J24</f>
        <v>0</v>
      </c>
      <c r="K98" s="79">
        <f>'CO2 factors'!G$7*K24</f>
        <v>0</v>
      </c>
      <c r="L98" s="79">
        <f>'CO2 factors'!H$7*L24</f>
        <v>0</v>
      </c>
      <c r="M98" s="68">
        <f t="shared" si="30"/>
        <v>0</v>
      </c>
      <c r="N98" s="79">
        <f>'CO2 factors'!J$7*N24</f>
        <v>0</v>
      </c>
      <c r="O98" s="79">
        <f>'CO2 factors'!K$7*O24</f>
        <v>0</v>
      </c>
      <c r="P98" s="79">
        <f>'CO2 factors'!L$7*P24</f>
        <v>0</v>
      </c>
      <c r="Q98" s="79">
        <f>'CO2 factors'!M$7*Q24</f>
        <v>0</v>
      </c>
      <c r="R98" s="79">
        <f>'CO2 factors'!N$7*R24</f>
        <v>0</v>
      </c>
      <c r="S98" s="79">
        <f>'CO2 factors'!O$7*S24</f>
        <v>0</v>
      </c>
      <c r="T98" s="68">
        <f t="shared" si="32"/>
        <v>0</v>
      </c>
      <c r="U98" s="68">
        <f t="shared" si="33"/>
        <v>0</v>
      </c>
    </row>
    <row r="99" spans="1:21" s="21" customFormat="1" ht="15.75" hidden="1">
      <c r="A99" s="22"/>
      <c r="B99" s="196">
        <f>Translation!A67</f>
      </c>
      <c r="C99" s="79">
        <f t="shared" si="34"/>
        <v>0</v>
      </c>
      <c r="D99" s="79">
        <f t="shared" si="35"/>
        <v>0</v>
      </c>
      <c r="E99" s="79">
        <f t="shared" si="36"/>
        <v>0</v>
      </c>
      <c r="F99" s="68">
        <f t="shared" si="28"/>
        <v>0</v>
      </c>
      <c r="G99" s="79">
        <f>'CO2 factors'!C$7*G25</f>
        <v>0</v>
      </c>
      <c r="H99" s="79">
        <f>'CO2 factors'!D$7*H25</f>
        <v>0</v>
      </c>
      <c r="I99" s="79">
        <f>'CO2 factors'!E$7*I25</f>
        <v>0</v>
      </c>
      <c r="J99" s="79">
        <f>'CO2 factors'!F$7*J25</f>
        <v>0</v>
      </c>
      <c r="K99" s="79">
        <f>'CO2 factors'!G$7*K25</f>
        <v>0</v>
      </c>
      <c r="L99" s="79">
        <f>'CO2 factors'!H$7*L25</f>
        <v>0</v>
      </c>
      <c r="M99" s="68">
        <f t="shared" si="30"/>
        <v>0</v>
      </c>
      <c r="N99" s="79">
        <f>'CO2 factors'!J$7*N25</f>
        <v>0</v>
      </c>
      <c r="O99" s="79">
        <f>'CO2 factors'!K$7*O25</f>
        <v>0</v>
      </c>
      <c r="P99" s="79">
        <f>'CO2 factors'!L$7*P25</f>
        <v>0</v>
      </c>
      <c r="Q99" s="79">
        <f>'CO2 factors'!M$7*Q25</f>
        <v>0</v>
      </c>
      <c r="R99" s="79">
        <f>'CO2 factors'!N$7*R25</f>
        <v>0</v>
      </c>
      <c r="S99" s="79">
        <f>'CO2 factors'!O$7*S25</f>
        <v>0</v>
      </c>
      <c r="T99" s="68">
        <f t="shared" si="32"/>
        <v>0</v>
      </c>
      <c r="U99" s="68">
        <f t="shared" si="33"/>
        <v>0</v>
      </c>
    </row>
    <row r="100" spans="1:21" s="21" customFormat="1" ht="15.75" hidden="1">
      <c r="A100" s="22"/>
      <c r="B100" s="196">
        <f>Translation!A68</f>
      </c>
      <c r="C100" s="79">
        <f t="shared" si="34"/>
        <v>0</v>
      </c>
      <c r="D100" s="79">
        <f t="shared" si="35"/>
        <v>0</v>
      </c>
      <c r="E100" s="79">
        <f t="shared" si="36"/>
        <v>0</v>
      </c>
      <c r="F100" s="68">
        <f t="shared" si="28"/>
        <v>0</v>
      </c>
      <c r="G100" s="79">
        <f>'CO2 factors'!C$7*G26</f>
        <v>0</v>
      </c>
      <c r="H100" s="79">
        <f>'CO2 factors'!D$7*H26</f>
        <v>0</v>
      </c>
      <c r="I100" s="79">
        <f>'CO2 factors'!E$7*I26</f>
        <v>0</v>
      </c>
      <c r="J100" s="79">
        <f>'CO2 factors'!F$7*J26</f>
        <v>0</v>
      </c>
      <c r="K100" s="79">
        <f>'CO2 factors'!G$7*K26</f>
        <v>0</v>
      </c>
      <c r="L100" s="79">
        <f>'CO2 factors'!H$7*L26</f>
        <v>0</v>
      </c>
      <c r="M100" s="68">
        <f t="shared" si="30"/>
        <v>0</v>
      </c>
      <c r="N100" s="79">
        <f>'CO2 factors'!J$7*N26</f>
        <v>0</v>
      </c>
      <c r="O100" s="79">
        <f>'CO2 factors'!K$7*O26</f>
        <v>0</v>
      </c>
      <c r="P100" s="79">
        <f>'CO2 factors'!L$7*P26</f>
        <v>0</v>
      </c>
      <c r="Q100" s="79">
        <f>'CO2 factors'!M$7*Q26</f>
        <v>0</v>
      </c>
      <c r="R100" s="79">
        <f>'CO2 factors'!N$7*R26</f>
        <v>0</v>
      </c>
      <c r="S100" s="79">
        <f>'CO2 factors'!O$7*S26</f>
        <v>0</v>
      </c>
      <c r="T100" s="68">
        <f t="shared" si="32"/>
        <v>0</v>
      </c>
      <c r="U100" s="68">
        <f t="shared" si="33"/>
        <v>0</v>
      </c>
    </row>
    <row r="101" spans="1:21" s="21" customFormat="1" ht="15.75">
      <c r="A101" s="22"/>
      <c r="B101" s="70" t="str">
        <f>Translation!A69</f>
        <v>PRIMARY SECTOR</v>
      </c>
      <c r="C101" s="68">
        <f>SUM(C102:C103)</f>
        <v>558.1307586206898</v>
      </c>
      <c r="D101" s="68">
        <f>SUM(D102:D103)</f>
        <v>0</v>
      </c>
      <c r="E101" s="68">
        <f>SUM(E102:E103)</f>
        <v>0</v>
      </c>
      <c r="F101" s="68">
        <f t="shared" si="28"/>
        <v>558.1307586206898</v>
      </c>
      <c r="G101" s="68">
        <f aca="true" t="shared" si="37" ref="G101:L101">SUM(G102:G103)</f>
        <v>0</v>
      </c>
      <c r="H101" s="68">
        <f t="shared" si="37"/>
        <v>1377.1860000000001</v>
      </c>
      <c r="I101" s="68">
        <f t="shared" si="37"/>
        <v>0</v>
      </c>
      <c r="J101" s="68">
        <f t="shared" si="37"/>
        <v>0</v>
      </c>
      <c r="K101" s="68">
        <f t="shared" si="37"/>
        <v>0</v>
      </c>
      <c r="L101" s="68">
        <f t="shared" si="37"/>
        <v>0</v>
      </c>
      <c r="M101" s="68">
        <f t="shared" si="30"/>
        <v>1377.1860000000001</v>
      </c>
      <c r="N101" s="68">
        <f aca="true" t="shared" si="38" ref="N101:S101">SUM(N102:N103)</f>
        <v>0</v>
      </c>
      <c r="O101" s="68">
        <f t="shared" si="38"/>
        <v>0</v>
      </c>
      <c r="P101" s="68">
        <f t="shared" si="38"/>
        <v>0</v>
      </c>
      <c r="Q101" s="68">
        <f t="shared" si="38"/>
        <v>0</v>
      </c>
      <c r="R101" s="68">
        <f t="shared" si="38"/>
        <v>0</v>
      </c>
      <c r="S101" s="68">
        <f t="shared" si="38"/>
        <v>0</v>
      </c>
      <c r="T101" s="68">
        <f t="shared" si="32"/>
        <v>0</v>
      </c>
      <c r="U101" s="68">
        <f t="shared" si="33"/>
        <v>1935.31675862069</v>
      </c>
    </row>
    <row r="102" spans="1:21" s="21" customFormat="1" ht="15.75">
      <c r="A102" s="22"/>
      <c r="B102" s="197" t="str">
        <f>Translation!A70</f>
        <v>Agriculture, forestry and fishing</v>
      </c>
      <c r="C102" s="79">
        <f>IF(AND(C$48&gt;0,($S$128+$V$137)&gt;0),($S$128+$V$137)/C$48,0)*C28</f>
        <v>558.1307586206898</v>
      </c>
      <c r="D102" s="79">
        <f>IF(AND(D$48&gt;0,$S$129&gt;0),($S$129)/D$48,0)*D28</f>
        <v>0</v>
      </c>
      <c r="E102" s="79">
        <f>IF(AND(E$48&gt;0,$S$130&gt;0),($S$130)/E$48,0)*E28</f>
        <v>0</v>
      </c>
      <c r="F102" s="68">
        <f t="shared" si="28"/>
        <v>558.1307586206898</v>
      </c>
      <c r="G102" s="79">
        <f>'CO2 factors'!C$7*G28</f>
        <v>0</v>
      </c>
      <c r="H102" s="79">
        <f>'CO2 factors'!D$7*H28</f>
        <v>1377.1860000000001</v>
      </c>
      <c r="I102" s="79">
        <f>'CO2 factors'!E$7*I28</f>
        <v>0</v>
      </c>
      <c r="J102" s="79">
        <f>'CO2 factors'!F$7*J28</f>
        <v>0</v>
      </c>
      <c r="K102" s="79">
        <f>'CO2 factors'!G$7*K28</f>
        <v>0</v>
      </c>
      <c r="L102" s="79">
        <f>'CO2 factors'!H$7*L28</f>
        <v>0</v>
      </c>
      <c r="M102" s="68">
        <f t="shared" si="30"/>
        <v>1377.1860000000001</v>
      </c>
      <c r="N102" s="79">
        <f>'CO2 factors'!J$7*N28</f>
        <v>0</v>
      </c>
      <c r="O102" s="79">
        <f>'CO2 factors'!K$7*O28</f>
        <v>0</v>
      </c>
      <c r="P102" s="79">
        <f>'CO2 factors'!L$7*P28</f>
        <v>0</v>
      </c>
      <c r="Q102" s="79">
        <f>'CO2 factors'!M$7*Q28</f>
        <v>0</v>
      </c>
      <c r="R102" s="79">
        <f>'CO2 factors'!N$7*R28</f>
        <v>0</v>
      </c>
      <c r="S102" s="79">
        <f>'CO2 factors'!O$7*S28</f>
        <v>0</v>
      </c>
      <c r="T102" s="68">
        <f t="shared" si="32"/>
        <v>0</v>
      </c>
      <c r="U102" s="68">
        <f t="shared" si="33"/>
        <v>1935.31675862069</v>
      </c>
    </row>
    <row r="103" spans="1:21" s="21" customFormat="1" ht="15.75">
      <c r="A103" s="22"/>
      <c r="B103" s="197" t="str">
        <f>Translation!A71</f>
        <v>Mining and quarrying</v>
      </c>
      <c r="C103" s="79">
        <f>IF(AND(C$48&gt;0,($S$128+$V$137)&gt;0),($S$128+$V$137)/C$48,0)*C29</f>
        <v>0</v>
      </c>
      <c r="D103" s="79">
        <f>IF(AND(D$48&gt;0,$S$129&gt;0),($S$129)/D$48,0)*D29</f>
        <v>0</v>
      </c>
      <c r="E103" s="79">
        <f>IF(AND(E$48&gt;0,$S$130&gt;0),($S$130)/E$48,0)*E29</f>
        <v>0</v>
      </c>
      <c r="F103" s="68">
        <f t="shared" si="28"/>
        <v>0</v>
      </c>
      <c r="G103" s="79">
        <f>'CO2 factors'!C$7*G29</f>
        <v>0</v>
      </c>
      <c r="H103" s="79">
        <f>'CO2 factors'!D$7*H29</f>
        <v>0</v>
      </c>
      <c r="I103" s="79">
        <f>'CO2 factors'!E$7*I29</f>
        <v>0</v>
      </c>
      <c r="J103" s="79">
        <f>'CO2 factors'!F$7*J29</f>
        <v>0</v>
      </c>
      <c r="K103" s="79">
        <f>'CO2 factors'!G$7*K29</f>
        <v>0</v>
      </c>
      <c r="L103" s="79">
        <f>'CO2 factors'!H$7*L29</f>
        <v>0</v>
      </c>
      <c r="M103" s="68">
        <f t="shared" si="30"/>
        <v>0</v>
      </c>
      <c r="N103" s="79">
        <f>'CO2 factors'!J$7*N29</f>
        <v>0</v>
      </c>
      <c r="O103" s="79">
        <f>'CO2 factors'!K$7*O29</f>
        <v>0</v>
      </c>
      <c r="P103" s="79">
        <f>'CO2 factors'!L$7*P29</f>
        <v>0</v>
      </c>
      <c r="Q103" s="79">
        <f>'CO2 factors'!M$7*Q29</f>
        <v>0</v>
      </c>
      <c r="R103" s="79">
        <f>'CO2 factors'!N$7*R29</f>
        <v>0</v>
      </c>
      <c r="S103" s="79">
        <f>'CO2 factors'!O$7*S29</f>
        <v>0</v>
      </c>
      <c r="T103" s="68">
        <f t="shared" si="32"/>
        <v>0</v>
      </c>
      <c r="U103" s="68">
        <f t="shared" si="33"/>
        <v>0</v>
      </c>
    </row>
    <row r="104" spans="1:21" s="21" customFormat="1" ht="15.75">
      <c r="A104" s="22"/>
      <c r="B104" s="65" t="str">
        <f>Translation!A72</f>
        <v>SECONDARY SECTOR</v>
      </c>
      <c r="C104" s="68">
        <f>SUM(C105:C107)</f>
        <v>6002.972307692308</v>
      </c>
      <c r="D104" s="68">
        <f>SUM(D105:D107)</f>
        <v>0</v>
      </c>
      <c r="E104" s="68">
        <f>SUM(E105:E107)</f>
        <v>0</v>
      </c>
      <c r="F104" s="68">
        <f t="shared" si="28"/>
        <v>6002.972307692308</v>
      </c>
      <c r="G104" s="68">
        <f aca="true" t="shared" si="39" ref="G104:L104">SUM(G105:G107)</f>
        <v>0</v>
      </c>
      <c r="H104" s="68">
        <f t="shared" si="39"/>
        <v>0</v>
      </c>
      <c r="I104" s="68">
        <f t="shared" si="39"/>
        <v>0</v>
      </c>
      <c r="J104" s="68">
        <f t="shared" si="39"/>
        <v>0</v>
      </c>
      <c r="K104" s="68">
        <f t="shared" si="39"/>
        <v>0</v>
      </c>
      <c r="L104" s="68">
        <f t="shared" si="39"/>
        <v>0</v>
      </c>
      <c r="M104" s="68">
        <f t="shared" si="30"/>
        <v>0</v>
      </c>
      <c r="N104" s="68">
        <f aca="true" t="shared" si="40" ref="N104:S104">SUM(N105:N107)</f>
        <v>0</v>
      </c>
      <c r="O104" s="68">
        <f t="shared" si="40"/>
        <v>0</v>
      </c>
      <c r="P104" s="68">
        <f t="shared" si="40"/>
        <v>0</v>
      </c>
      <c r="Q104" s="68">
        <f t="shared" si="40"/>
        <v>0</v>
      </c>
      <c r="R104" s="68">
        <f t="shared" si="40"/>
        <v>0</v>
      </c>
      <c r="S104" s="68">
        <f t="shared" si="40"/>
        <v>0</v>
      </c>
      <c r="T104" s="68">
        <f t="shared" si="32"/>
        <v>0</v>
      </c>
      <c r="U104" s="68">
        <f t="shared" si="33"/>
        <v>6002.972307692308</v>
      </c>
    </row>
    <row r="105" spans="1:21" s="21" customFormat="1" ht="15.75">
      <c r="A105" s="22"/>
      <c r="B105" s="197" t="str">
        <f>Translation!A73</f>
        <v>Manufacturing</v>
      </c>
      <c r="C105" s="79">
        <f>IF(AND(C$48&gt;0,($S$128+$V$137)&gt;0),($S$128+$V$137)/C$48,0)*C31</f>
        <v>5740.2624084880645</v>
      </c>
      <c r="D105" s="79">
        <f>IF(AND(D$48&gt;0,$S$129&gt;0),($S$129)/D$48,0)*D31</f>
        <v>0</v>
      </c>
      <c r="E105" s="79">
        <f>IF(AND(E$48&gt;0,$S$130&gt;0),($S$130)/E$48,0)*E31</f>
        <v>0</v>
      </c>
      <c r="F105" s="68">
        <f t="shared" si="28"/>
        <v>5740.2624084880645</v>
      </c>
      <c r="G105" s="79">
        <f>'CO2 factors'!C$7*G31</f>
        <v>0</v>
      </c>
      <c r="H105" s="79">
        <f>'CO2 factors'!D$7*H31</f>
        <v>0</v>
      </c>
      <c r="I105" s="79">
        <f>'CO2 factors'!E$7*I31</f>
        <v>0</v>
      </c>
      <c r="J105" s="79">
        <f>'CO2 factors'!F$7*J31</f>
        <v>0</v>
      </c>
      <c r="K105" s="79">
        <f>'CO2 factors'!G$7*K31</f>
        <v>0</v>
      </c>
      <c r="L105" s="79">
        <f>'CO2 factors'!H$7*L31</f>
        <v>0</v>
      </c>
      <c r="M105" s="68">
        <f t="shared" si="30"/>
        <v>0</v>
      </c>
      <c r="N105" s="79">
        <f>'CO2 factors'!J$7*N31</f>
        <v>0</v>
      </c>
      <c r="O105" s="79">
        <f>'CO2 factors'!K$7*O31</f>
        <v>0</v>
      </c>
      <c r="P105" s="79">
        <f>'CO2 factors'!L$7*P31</f>
        <v>0</v>
      </c>
      <c r="Q105" s="79">
        <f>'CO2 factors'!M$7*Q31</f>
        <v>0</v>
      </c>
      <c r="R105" s="79">
        <f>'CO2 factors'!N$7*R31</f>
        <v>0</v>
      </c>
      <c r="S105" s="79">
        <f>'CO2 factors'!O$7*S31</f>
        <v>0</v>
      </c>
      <c r="T105" s="68">
        <f t="shared" si="32"/>
        <v>0</v>
      </c>
      <c r="U105" s="68">
        <f t="shared" si="33"/>
        <v>5740.2624084880645</v>
      </c>
    </row>
    <row r="106" spans="1:21" s="21" customFormat="1" ht="30">
      <c r="A106" s="22"/>
      <c r="B106" s="197" t="str">
        <f>Translation!A74</f>
        <v>Water supply, sewerage, waste management and remediation activities</v>
      </c>
      <c r="C106" s="79">
        <f>IF(AND(C$48&gt;0,($S$128+$V$137)&gt;0),($S$128+$V$137)/C$48,0)*C32</f>
        <v>0</v>
      </c>
      <c r="D106" s="79">
        <f>IF(AND(D$48&gt;0,$S$129&gt;0),($S$129)/D$48,0)*D32</f>
        <v>0</v>
      </c>
      <c r="E106" s="79">
        <f>IF(AND(E$48&gt;0,$S$130&gt;0),($S$130)/E$48,0)*E32</f>
        <v>0</v>
      </c>
      <c r="F106" s="68">
        <f t="shared" si="28"/>
        <v>0</v>
      </c>
      <c r="G106" s="79">
        <f>'CO2 factors'!C$7*G32</f>
        <v>0</v>
      </c>
      <c r="H106" s="79">
        <f>'CO2 factors'!D$7*H32</f>
        <v>0</v>
      </c>
      <c r="I106" s="79">
        <f>'CO2 factors'!E$7*I32</f>
        <v>0</v>
      </c>
      <c r="J106" s="79">
        <f>'CO2 factors'!F$7*J32</f>
        <v>0</v>
      </c>
      <c r="K106" s="79">
        <f>'CO2 factors'!G$7*K32</f>
        <v>0</v>
      </c>
      <c r="L106" s="79">
        <f>'CO2 factors'!H$7*L32</f>
        <v>0</v>
      </c>
      <c r="M106" s="68">
        <f t="shared" si="30"/>
        <v>0</v>
      </c>
      <c r="N106" s="79">
        <f>'CO2 factors'!J$7*N32</f>
        <v>0</v>
      </c>
      <c r="O106" s="79">
        <f>'CO2 factors'!K$7*O32</f>
        <v>0</v>
      </c>
      <c r="P106" s="79">
        <f>'CO2 factors'!L$7*P32</f>
        <v>0</v>
      </c>
      <c r="Q106" s="79">
        <f>'CO2 factors'!M$7*Q32</f>
        <v>0</v>
      </c>
      <c r="R106" s="79">
        <f>'CO2 factors'!N$7*R32</f>
        <v>0</v>
      </c>
      <c r="S106" s="79">
        <f>'CO2 factors'!O$7*S32</f>
        <v>0</v>
      </c>
      <c r="T106" s="68">
        <f t="shared" si="32"/>
        <v>0</v>
      </c>
      <c r="U106" s="68">
        <f t="shared" si="33"/>
        <v>0</v>
      </c>
    </row>
    <row r="107" spans="1:21" s="21" customFormat="1" ht="15.75">
      <c r="A107" s="22"/>
      <c r="B107" s="197" t="str">
        <f>Translation!A75</f>
        <v>Construction</v>
      </c>
      <c r="C107" s="79">
        <f>IF(AND(C$48&gt;0,($S$128+$V$137)&gt;0),($S$128+$V$137)/C$48,0)*C33</f>
        <v>262.7098992042441</v>
      </c>
      <c r="D107" s="79">
        <f>IF(AND(D$48&gt;0,$S$129&gt;0),($S$129)/D$48,0)*D33</f>
        <v>0</v>
      </c>
      <c r="E107" s="79">
        <f>IF(AND(E$48&gt;0,$S$130&gt;0),($S$130)/E$48,0)*E33</f>
        <v>0</v>
      </c>
      <c r="F107" s="68">
        <f t="shared" si="28"/>
        <v>262.7098992042441</v>
      </c>
      <c r="G107" s="79">
        <f>'CO2 factors'!C$7*G33</f>
        <v>0</v>
      </c>
      <c r="H107" s="79">
        <f>'CO2 factors'!D$7*H33</f>
        <v>0</v>
      </c>
      <c r="I107" s="79">
        <f>'CO2 factors'!E$7*I33</f>
        <v>0</v>
      </c>
      <c r="J107" s="79">
        <f>'CO2 factors'!F$7*J33</f>
        <v>0</v>
      </c>
      <c r="K107" s="79">
        <f>'CO2 factors'!G$7*K33</f>
        <v>0</v>
      </c>
      <c r="L107" s="79">
        <f>'CO2 factors'!H$7*L33</f>
        <v>0</v>
      </c>
      <c r="M107" s="68">
        <f t="shared" si="30"/>
        <v>0</v>
      </c>
      <c r="N107" s="79">
        <f>'CO2 factors'!J$7*N33</f>
        <v>0</v>
      </c>
      <c r="O107" s="79">
        <f>'CO2 factors'!K$7*O33</f>
        <v>0</v>
      </c>
      <c r="P107" s="79">
        <f>'CO2 factors'!L$7*P33</f>
        <v>0</v>
      </c>
      <c r="Q107" s="79">
        <f>'CO2 factors'!M$7*Q33</f>
        <v>0</v>
      </c>
      <c r="R107" s="79">
        <f>'CO2 factors'!N$7*R33</f>
        <v>0</v>
      </c>
      <c r="S107" s="79">
        <f>'CO2 factors'!O$7*S33</f>
        <v>0</v>
      </c>
      <c r="T107" s="68">
        <f t="shared" si="32"/>
        <v>0</v>
      </c>
      <c r="U107" s="68">
        <f t="shared" si="33"/>
        <v>262.7098992042441</v>
      </c>
    </row>
    <row r="108" spans="1:21" s="21" customFormat="1" ht="15.75">
      <c r="A108" s="22"/>
      <c r="B108" s="65" t="str">
        <f>Translation!A76</f>
        <v>TERTIARY SECTOR</v>
      </c>
      <c r="C108" s="68">
        <f>SUM(C109:C116)</f>
        <v>6803.8797241379325</v>
      </c>
      <c r="D108" s="68">
        <f>SUM(D109:D116)</f>
        <v>0</v>
      </c>
      <c r="E108" s="68">
        <f>SUM(E109:E116)</f>
        <v>0</v>
      </c>
      <c r="F108" s="68">
        <f t="shared" si="28"/>
        <v>6803.8797241379325</v>
      </c>
      <c r="G108" s="68">
        <f aca="true" t="shared" si="41" ref="G108:L108">SUM(G109:G116)</f>
        <v>0</v>
      </c>
      <c r="H108" s="68">
        <f t="shared" si="41"/>
        <v>0</v>
      </c>
      <c r="I108" s="68">
        <f t="shared" si="41"/>
        <v>0</v>
      </c>
      <c r="J108" s="68">
        <f t="shared" si="41"/>
        <v>0</v>
      </c>
      <c r="K108" s="68">
        <f t="shared" si="41"/>
        <v>0</v>
      </c>
      <c r="L108" s="68">
        <f t="shared" si="41"/>
        <v>0</v>
      </c>
      <c r="M108" s="68">
        <f t="shared" si="30"/>
        <v>0</v>
      </c>
      <c r="N108" s="68">
        <f aca="true" t="shared" si="42" ref="N108:S108">SUM(N109:N116)</f>
        <v>0</v>
      </c>
      <c r="O108" s="68">
        <f t="shared" si="42"/>
        <v>0</v>
      </c>
      <c r="P108" s="68">
        <f t="shared" si="42"/>
        <v>0</v>
      </c>
      <c r="Q108" s="68">
        <f t="shared" si="42"/>
        <v>0</v>
      </c>
      <c r="R108" s="68">
        <f t="shared" si="42"/>
        <v>0</v>
      </c>
      <c r="S108" s="68">
        <f t="shared" si="42"/>
        <v>0</v>
      </c>
      <c r="T108" s="68">
        <f t="shared" si="32"/>
        <v>0</v>
      </c>
      <c r="U108" s="68">
        <f t="shared" si="33"/>
        <v>6803.8797241379325</v>
      </c>
    </row>
    <row r="109" spans="1:21" s="21" customFormat="1" ht="15.75">
      <c r="A109" s="22"/>
      <c r="B109" s="197" t="str">
        <f>Translation!A77</f>
        <v>Trade, service and tourism</v>
      </c>
      <c r="C109" s="79">
        <f aca="true" t="shared" si="43" ref="C109:C116">IF(AND(C$48&gt;0,($S$128+$V$137)&gt;0),($S$128+$V$137)/C$48,0)*C35</f>
        <v>4360.779883289126</v>
      </c>
      <c r="D109" s="79">
        <f aca="true" t="shared" si="44" ref="D109:D116">IF(AND(D$48&gt;0,$S$129&gt;0),($S$129)/D$48,0)*D35</f>
        <v>0</v>
      </c>
      <c r="E109" s="79">
        <f aca="true" t="shared" si="45" ref="E109:E116">IF(AND(E$48&gt;0,$S$130&gt;0),($S$130)/E$48,0)*E35</f>
        <v>0</v>
      </c>
      <c r="F109" s="68">
        <f t="shared" si="28"/>
        <v>4360.779883289126</v>
      </c>
      <c r="G109" s="79">
        <f>'CO2 factors'!C$7*G35</f>
        <v>0</v>
      </c>
      <c r="H109" s="79">
        <f>'CO2 factors'!D$7*H35</f>
        <v>0</v>
      </c>
      <c r="I109" s="79">
        <f>'CO2 factors'!E$7*I35</f>
        <v>0</v>
      </c>
      <c r="J109" s="79">
        <f>'CO2 factors'!F$7*J35</f>
        <v>0</v>
      </c>
      <c r="K109" s="79">
        <f>'CO2 factors'!G$7*K35</f>
        <v>0</v>
      </c>
      <c r="L109" s="79">
        <f>'CO2 factors'!H$7*L35</f>
        <v>0</v>
      </c>
      <c r="M109" s="68">
        <f t="shared" si="30"/>
        <v>0</v>
      </c>
      <c r="N109" s="79">
        <f>'CO2 factors'!J$7*N35</f>
        <v>0</v>
      </c>
      <c r="O109" s="79">
        <f>'CO2 factors'!K$7*O35</f>
        <v>0</v>
      </c>
      <c r="P109" s="79">
        <f>'CO2 factors'!L$7*P35</f>
        <v>0</v>
      </c>
      <c r="Q109" s="79">
        <f>'CO2 factors'!M$7*Q35</f>
        <v>0</v>
      </c>
      <c r="R109" s="79">
        <f>'CO2 factors'!N$7*R35</f>
        <v>0</v>
      </c>
      <c r="S109" s="79">
        <f>'CO2 factors'!O$7*S35</f>
        <v>0</v>
      </c>
      <c r="T109" s="68">
        <f t="shared" si="32"/>
        <v>0</v>
      </c>
      <c r="U109" s="68">
        <f t="shared" si="33"/>
        <v>4360.779883289126</v>
      </c>
    </row>
    <row r="110" spans="1:21" s="21" customFormat="1" ht="15.75">
      <c r="A110" s="22"/>
      <c r="B110" s="197" t="str">
        <f>Translation!A78</f>
        <v>Public administration, schools and kindergardens</v>
      </c>
      <c r="C110" s="79">
        <f t="shared" si="43"/>
        <v>1959.590960212202</v>
      </c>
      <c r="D110" s="79">
        <f t="shared" si="44"/>
        <v>0</v>
      </c>
      <c r="E110" s="79">
        <f t="shared" si="45"/>
        <v>0</v>
      </c>
      <c r="F110" s="68">
        <f t="shared" si="28"/>
        <v>1959.590960212202</v>
      </c>
      <c r="G110" s="79">
        <f>'CO2 factors'!C$7*G36</f>
        <v>0</v>
      </c>
      <c r="H110" s="79">
        <f>'CO2 factors'!D$7*H36</f>
        <v>0</v>
      </c>
      <c r="I110" s="79">
        <f>'CO2 factors'!E$7*I36</f>
        <v>0</v>
      </c>
      <c r="J110" s="79">
        <f>'CO2 factors'!F$7*J36</f>
        <v>0</v>
      </c>
      <c r="K110" s="79">
        <f>'CO2 factors'!G$7*K36</f>
        <v>0</v>
      </c>
      <c r="L110" s="79">
        <f>'CO2 factors'!H$7*L36</f>
        <v>0</v>
      </c>
      <c r="M110" s="68">
        <f t="shared" si="30"/>
        <v>0</v>
      </c>
      <c r="N110" s="79">
        <f>'CO2 factors'!J$7*N36</f>
        <v>0</v>
      </c>
      <c r="O110" s="79">
        <f>'CO2 factors'!K$7*O36</f>
        <v>0</v>
      </c>
      <c r="P110" s="79">
        <f>'CO2 factors'!L$7*P36</f>
        <v>0</v>
      </c>
      <c r="Q110" s="79">
        <f>'CO2 factors'!M$7*Q36</f>
        <v>0</v>
      </c>
      <c r="R110" s="79">
        <f>'CO2 factors'!N$7*R36</f>
        <v>0</v>
      </c>
      <c r="S110" s="79">
        <f>'CO2 factors'!O$7*S36</f>
        <v>0</v>
      </c>
      <c r="T110" s="68">
        <f t="shared" si="32"/>
        <v>0</v>
      </c>
      <c r="U110" s="68">
        <f t="shared" si="33"/>
        <v>1959.590960212202</v>
      </c>
    </row>
    <row r="111" spans="1:21" s="21" customFormat="1" ht="15.75">
      <c r="A111" s="22"/>
      <c r="B111" s="197" t="str">
        <f>Translation!A79</f>
        <v>Other services</v>
      </c>
      <c r="C111" s="79">
        <f t="shared" si="43"/>
        <v>483.5088806366049</v>
      </c>
      <c r="D111" s="79">
        <f t="shared" si="44"/>
        <v>0</v>
      </c>
      <c r="E111" s="79">
        <f t="shared" si="45"/>
        <v>0</v>
      </c>
      <c r="F111" s="68">
        <f t="shared" si="28"/>
        <v>483.5088806366049</v>
      </c>
      <c r="G111" s="79">
        <f>'CO2 factors'!C$7*G37</f>
        <v>0</v>
      </c>
      <c r="H111" s="79">
        <f>'CO2 factors'!D$7*H37</f>
        <v>0</v>
      </c>
      <c r="I111" s="79">
        <f>'CO2 factors'!E$7*I37</f>
        <v>0</v>
      </c>
      <c r="J111" s="79">
        <f>'CO2 factors'!F$7*J37</f>
        <v>0</v>
      </c>
      <c r="K111" s="79">
        <f>'CO2 factors'!G$7*K37</f>
        <v>0</v>
      </c>
      <c r="L111" s="79">
        <f>'CO2 factors'!H$7*L37</f>
        <v>0</v>
      </c>
      <c r="M111" s="68">
        <f t="shared" si="30"/>
        <v>0</v>
      </c>
      <c r="N111" s="79">
        <f>'CO2 factors'!J$7*N37</f>
        <v>0</v>
      </c>
      <c r="O111" s="79">
        <f>'CO2 factors'!K$7*O37</f>
        <v>0</v>
      </c>
      <c r="P111" s="79">
        <f>'CO2 factors'!L$7*P37</f>
        <v>0</v>
      </c>
      <c r="Q111" s="79">
        <f>'CO2 factors'!M$7*Q37</f>
        <v>0</v>
      </c>
      <c r="R111" s="79">
        <f>'CO2 factors'!N$7*R37</f>
        <v>0</v>
      </c>
      <c r="S111" s="79">
        <f>'CO2 factors'!O$7*S37</f>
        <v>0</v>
      </c>
      <c r="T111" s="68">
        <f t="shared" si="32"/>
        <v>0</v>
      </c>
      <c r="U111" s="68">
        <f t="shared" si="33"/>
        <v>483.5088806366049</v>
      </c>
    </row>
    <row r="112" spans="1:21" s="21" customFormat="1" ht="15.75" hidden="1">
      <c r="A112" s="22"/>
      <c r="B112" s="197">
        <f>Translation!A80</f>
      </c>
      <c r="C112" s="79">
        <f t="shared" si="43"/>
        <v>0</v>
      </c>
      <c r="D112" s="79">
        <f t="shared" si="44"/>
        <v>0</v>
      </c>
      <c r="E112" s="79">
        <f t="shared" si="45"/>
        <v>0</v>
      </c>
      <c r="F112" s="68">
        <f t="shared" si="28"/>
        <v>0</v>
      </c>
      <c r="G112" s="79">
        <f>'CO2 factors'!C$7*G38</f>
        <v>0</v>
      </c>
      <c r="H112" s="79">
        <f>'CO2 factors'!D$7*H38</f>
        <v>0</v>
      </c>
      <c r="I112" s="79">
        <f>'CO2 factors'!E$7*I38</f>
        <v>0</v>
      </c>
      <c r="J112" s="79">
        <f>'CO2 factors'!F$7*J38</f>
        <v>0</v>
      </c>
      <c r="K112" s="79">
        <f>'CO2 factors'!G$7*K38</f>
        <v>0</v>
      </c>
      <c r="L112" s="79">
        <f>'CO2 factors'!H$7*L38</f>
        <v>0</v>
      </c>
      <c r="M112" s="68">
        <f t="shared" si="30"/>
        <v>0</v>
      </c>
      <c r="N112" s="79">
        <f>'CO2 factors'!J$7*N38</f>
        <v>0</v>
      </c>
      <c r="O112" s="79">
        <f>'CO2 factors'!K$7*O38</f>
        <v>0</v>
      </c>
      <c r="P112" s="79">
        <f>'CO2 factors'!L$7*P38</f>
        <v>0</v>
      </c>
      <c r="Q112" s="79">
        <f>'CO2 factors'!M$7*Q38</f>
        <v>0</v>
      </c>
      <c r="R112" s="79">
        <f>'CO2 factors'!N$7*R38</f>
        <v>0</v>
      </c>
      <c r="S112" s="79">
        <f>'CO2 factors'!O$7*S38</f>
        <v>0</v>
      </c>
      <c r="T112" s="68">
        <f t="shared" si="32"/>
        <v>0</v>
      </c>
      <c r="U112" s="68">
        <f t="shared" si="33"/>
        <v>0</v>
      </c>
    </row>
    <row r="113" spans="1:21" s="21" customFormat="1" ht="15.75" hidden="1">
      <c r="A113" s="22"/>
      <c r="B113" s="197">
        <f>Translation!A81</f>
      </c>
      <c r="C113" s="79">
        <f t="shared" si="43"/>
        <v>0</v>
      </c>
      <c r="D113" s="79">
        <f t="shared" si="44"/>
        <v>0</v>
      </c>
      <c r="E113" s="79">
        <f t="shared" si="45"/>
        <v>0</v>
      </c>
      <c r="F113" s="68">
        <f t="shared" si="28"/>
        <v>0</v>
      </c>
      <c r="G113" s="79">
        <f>'CO2 factors'!C$7*G39</f>
        <v>0</v>
      </c>
      <c r="H113" s="79">
        <f>'CO2 factors'!D$7*H39</f>
        <v>0</v>
      </c>
      <c r="I113" s="79">
        <f>'CO2 factors'!E$7*I39</f>
        <v>0</v>
      </c>
      <c r="J113" s="79">
        <f>'CO2 factors'!F$7*J39</f>
        <v>0</v>
      </c>
      <c r="K113" s="79">
        <f>'CO2 factors'!G$7*K39</f>
        <v>0</v>
      </c>
      <c r="L113" s="79">
        <f>'CO2 factors'!H$7*L39</f>
        <v>0</v>
      </c>
      <c r="M113" s="68">
        <f t="shared" si="30"/>
        <v>0</v>
      </c>
      <c r="N113" s="79">
        <f>'CO2 factors'!J$7*N39</f>
        <v>0</v>
      </c>
      <c r="O113" s="79">
        <f>'CO2 factors'!K$7*O39</f>
        <v>0</v>
      </c>
      <c r="P113" s="79">
        <f>'CO2 factors'!L$7*P39</f>
        <v>0</v>
      </c>
      <c r="Q113" s="79">
        <f>'CO2 factors'!M$7*Q39</f>
        <v>0</v>
      </c>
      <c r="R113" s="79">
        <f>'CO2 factors'!N$7*R39</f>
        <v>0</v>
      </c>
      <c r="S113" s="79">
        <f>'CO2 factors'!O$7*S39</f>
        <v>0</v>
      </c>
      <c r="T113" s="68">
        <f t="shared" si="32"/>
        <v>0</v>
      </c>
      <c r="U113" s="68">
        <f t="shared" si="33"/>
        <v>0</v>
      </c>
    </row>
    <row r="114" spans="1:21" s="21" customFormat="1" ht="15.75" hidden="1">
      <c r="A114" s="22"/>
      <c r="B114" s="197">
        <f>Translation!A82</f>
      </c>
      <c r="C114" s="79">
        <f t="shared" si="43"/>
        <v>0</v>
      </c>
      <c r="D114" s="79">
        <f t="shared" si="44"/>
        <v>0</v>
      </c>
      <c r="E114" s="79">
        <f t="shared" si="45"/>
        <v>0</v>
      </c>
      <c r="F114" s="68">
        <f t="shared" si="28"/>
        <v>0</v>
      </c>
      <c r="G114" s="79">
        <f>'CO2 factors'!C$7*G40</f>
        <v>0</v>
      </c>
      <c r="H114" s="79">
        <f>'CO2 factors'!D$7*H40</f>
        <v>0</v>
      </c>
      <c r="I114" s="79">
        <f>'CO2 factors'!E$7*I40</f>
        <v>0</v>
      </c>
      <c r="J114" s="79">
        <f>'CO2 factors'!F$7*J40</f>
        <v>0</v>
      </c>
      <c r="K114" s="79">
        <f>'CO2 factors'!G$7*K40</f>
        <v>0</v>
      </c>
      <c r="L114" s="79">
        <f>'CO2 factors'!H$7*L40</f>
        <v>0</v>
      </c>
      <c r="M114" s="68">
        <f t="shared" si="30"/>
        <v>0</v>
      </c>
      <c r="N114" s="79">
        <f>'CO2 factors'!J$7*N40</f>
        <v>0</v>
      </c>
      <c r="O114" s="79">
        <f>'CO2 factors'!K$7*O40</f>
        <v>0</v>
      </c>
      <c r="P114" s="79">
        <f>'CO2 factors'!L$7*P40</f>
        <v>0</v>
      </c>
      <c r="Q114" s="79">
        <f>'CO2 factors'!M$7*Q40</f>
        <v>0</v>
      </c>
      <c r="R114" s="79">
        <f>'CO2 factors'!N$7*R40</f>
        <v>0</v>
      </c>
      <c r="S114" s="79">
        <f>'CO2 factors'!O$7*S40</f>
        <v>0</v>
      </c>
      <c r="T114" s="68">
        <f t="shared" si="32"/>
        <v>0</v>
      </c>
      <c r="U114" s="68">
        <f t="shared" si="33"/>
        <v>0</v>
      </c>
    </row>
    <row r="115" spans="1:21" s="21" customFormat="1" ht="15.75" hidden="1">
      <c r="A115" s="22"/>
      <c r="B115" s="197">
        <f>Translation!A83</f>
      </c>
      <c r="C115" s="79">
        <f t="shared" si="43"/>
        <v>0</v>
      </c>
      <c r="D115" s="79">
        <f t="shared" si="44"/>
        <v>0</v>
      </c>
      <c r="E115" s="79">
        <f t="shared" si="45"/>
        <v>0</v>
      </c>
      <c r="F115" s="68">
        <f t="shared" si="28"/>
        <v>0</v>
      </c>
      <c r="G115" s="79">
        <f>'CO2 factors'!C$7*G41</f>
        <v>0</v>
      </c>
      <c r="H115" s="79">
        <f>'CO2 factors'!D$7*H41</f>
        <v>0</v>
      </c>
      <c r="I115" s="79">
        <f>'CO2 factors'!E$7*I41</f>
        <v>0</v>
      </c>
      <c r="J115" s="79">
        <f>'CO2 factors'!F$7*J41</f>
        <v>0</v>
      </c>
      <c r="K115" s="79">
        <f>'CO2 factors'!G$7*K41</f>
        <v>0</v>
      </c>
      <c r="L115" s="79">
        <f>'CO2 factors'!H$7*L41</f>
        <v>0</v>
      </c>
      <c r="M115" s="68">
        <f t="shared" si="30"/>
        <v>0</v>
      </c>
      <c r="N115" s="79">
        <f>'CO2 factors'!J$7*N41</f>
        <v>0</v>
      </c>
      <c r="O115" s="79">
        <f>'CO2 factors'!K$7*O41</f>
        <v>0</v>
      </c>
      <c r="P115" s="79">
        <f>'CO2 factors'!L$7*P41</f>
        <v>0</v>
      </c>
      <c r="Q115" s="79">
        <f>'CO2 factors'!M$7*Q41</f>
        <v>0</v>
      </c>
      <c r="R115" s="79">
        <f>'CO2 factors'!N$7*R41</f>
        <v>0</v>
      </c>
      <c r="S115" s="79">
        <f>'CO2 factors'!O$7*S41</f>
        <v>0</v>
      </c>
      <c r="T115" s="68">
        <f t="shared" si="32"/>
        <v>0</v>
      </c>
      <c r="U115" s="68">
        <f t="shared" si="33"/>
        <v>0</v>
      </c>
    </row>
    <row r="116" spans="1:21" s="21" customFormat="1" ht="15.75" hidden="1">
      <c r="A116" s="22"/>
      <c r="B116" s="197">
        <f>Translation!A84</f>
      </c>
      <c r="C116" s="79">
        <f t="shared" si="43"/>
        <v>0</v>
      </c>
      <c r="D116" s="79">
        <f t="shared" si="44"/>
        <v>0</v>
      </c>
      <c r="E116" s="79">
        <f t="shared" si="45"/>
        <v>0</v>
      </c>
      <c r="F116" s="68">
        <f t="shared" si="28"/>
        <v>0</v>
      </c>
      <c r="G116" s="79">
        <f>'CO2 factors'!C$7*G42</f>
        <v>0</v>
      </c>
      <c r="H116" s="79">
        <f>'CO2 factors'!D$7*H42</f>
        <v>0</v>
      </c>
      <c r="I116" s="79">
        <f>'CO2 factors'!E$7*I42</f>
        <v>0</v>
      </c>
      <c r="J116" s="79">
        <f>'CO2 factors'!F$7*J42</f>
        <v>0</v>
      </c>
      <c r="K116" s="79">
        <f>'CO2 factors'!G$7*K42</f>
        <v>0</v>
      </c>
      <c r="L116" s="79">
        <f>'CO2 factors'!H$7*L42</f>
        <v>0</v>
      </c>
      <c r="M116" s="68">
        <f t="shared" si="30"/>
        <v>0</v>
      </c>
      <c r="N116" s="79">
        <f>'CO2 factors'!J$7*N42</f>
        <v>0</v>
      </c>
      <c r="O116" s="79">
        <f>'CO2 factors'!K$7*O42</f>
        <v>0</v>
      </c>
      <c r="P116" s="79">
        <f>'CO2 factors'!L$7*P42</f>
        <v>0</v>
      </c>
      <c r="Q116" s="79">
        <f>'CO2 factors'!M$7*Q42</f>
        <v>0</v>
      </c>
      <c r="R116" s="79">
        <f>'CO2 factors'!N$7*R42</f>
        <v>0</v>
      </c>
      <c r="S116" s="79">
        <f>'CO2 factors'!O$7*S42</f>
        <v>0</v>
      </c>
      <c r="T116" s="68">
        <f t="shared" si="32"/>
        <v>0</v>
      </c>
      <c r="U116" s="68">
        <f t="shared" si="33"/>
        <v>0</v>
      </c>
    </row>
    <row r="117" spans="1:21" s="21" customFormat="1" ht="15.75">
      <c r="A117" s="22"/>
      <c r="B117" s="65" t="str">
        <f>Translation!A85</f>
        <v>TRANSPORTS</v>
      </c>
      <c r="C117" s="68">
        <f>SUM(C118:C121)</f>
        <v>0</v>
      </c>
      <c r="D117" s="68">
        <f>SUM(D118:D121)</f>
        <v>0</v>
      </c>
      <c r="E117" s="68">
        <f>SUM(E118:E121)</f>
        <v>0</v>
      </c>
      <c r="F117" s="68">
        <f t="shared" si="28"/>
        <v>0</v>
      </c>
      <c r="G117" s="68">
        <f aca="true" t="shared" si="46" ref="G117:L117">SUM(G118:G121)</f>
        <v>0</v>
      </c>
      <c r="H117" s="68">
        <f t="shared" si="46"/>
        <v>5456.145</v>
      </c>
      <c r="I117" s="68">
        <f t="shared" si="46"/>
        <v>5248.422</v>
      </c>
      <c r="J117" s="68">
        <f t="shared" si="46"/>
        <v>0</v>
      </c>
      <c r="K117" s="68">
        <f t="shared" si="46"/>
        <v>0</v>
      </c>
      <c r="L117" s="68">
        <f t="shared" si="46"/>
        <v>0</v>
      </c>
      <c r="M117" s="68">
        <f t="shared" si="30"/>
        <v>10704.567</v>
      </c>
      <c r="N117" s="68">
        <f aca="true" t="shared" si="47" ref="N117:S117">SUM(N118:N121)</f>
        <v>0</v>
      </c>
      <c r="O117" s="68">
        <f t="shared" si="47"/>
        <v>0</v>
      </c>
      <c r="P117" s="68">
        <f t="shared" si="47"/>
        <v>0</v>
      </c>
      <c r="Q117" s="68">
        <f t="shared" si="47"/>
        <v>0</v>
      </c>
      <c r="R117" s="68">
        <f t="shared" si="47"/>
        <v>0</v>
      </c>
      <c r="S117" s="68">
        <f t="shared" si="47"/>
        <v>0</v>
      </c>
      <c r="T117" s="68">
        <f t="shared" si="32"/>
        <v>0</v>
      </c>
      <c r="U117" s="68">
        <f t="shared" si="33"/>
        <v>10704.567</v>
      </c>
    </row>
    <row r="118" spans="1:21" s="21" customFormat="1" ht="30">
      <c r="A118" s="22"/>
      <c r="B118" s="197" t="str">
        <f>Translation!A86</f>
        <v>Passenger road transport (public transports, taxi, tourism, school buses, etc.)</v>
      </c>
      <c r="C118" s="79">
        <f>IF(AND(C$48&gt;0,($S$128+$V$137)&gt;0),($S$128+$V$137)/C$48,0)*C44</f>
        <v>0</v>
      </c>
      <c r="D118" s="79">
        <f>IF(AND(D$48&gt;0,$S$129&gt;0),($S$129)/D$48,0)*D44</f>
        <v>0</v>
      </c>
      <c r="E118" s="79">
        <f>IF(AND(E$48&gt;0,$S$130&gt;0),($S$130)/E$48,0)*E44</f>
        <v>0</v>
      </c>
      <c r="F118" s="68">
        <f t="shared" si="28"/>
        <v>0</v>
      </c>
      <c r="G118" s="79">
        <f>'CO2 factors'!C$7*G44</f>
        <v>0</v>
      </c>
      <c r="H118" s="79">
        <f>'CO2 factors'!D$7*H44</f>
        <v>296.103</v>
      </c>
      <c r="I118" s="79">
        <f>'CO2 factors'!E$7*I44</f>
        <v>0</v>
      </c>
      <c r="J118" s="79">
        <f>'CO2 factors'!F$7*J44</f>
        <v>0</v>
      </c>
      <c r="K118" s="79">
        <f>'CO2 factors'!G$7*K44</f>
        <v>0</v>
      </c>
      <c r="L118" s="79">
        <f>'CO2 factors'!H$7*L44</f>
        <v>0</v>
      </c>
      <c r="M118" s="68">
        <f t="shared" si="30"/>
        <v>296.103</v>
      </c>
      <c r="N118" s="79">
        <f>'CO2 factors'!J$7*N44</f>
        <v>0</v>
      </c>
      <c r="O118" s="79">
        <f>'CO2 factors'!K$7*O44</f>
        <v>0</v>
      </c>
      <c r="P118" s="79">
        <f>'CO2 factors'!L$7*P44</f>
        <v>0</v>
      </c>
      <c r="Q118" s="79">
        <f>'CO2 factors'!M$7*Q44</f>
        <v>0</v>
      </c>
      <c r="R118" s="79">
        <f>'CO2 factors'!N$7*R44</f>
        <v>0</v>
      </c>
      <c r="S118" s="79">
        <f>'CO2 factors'!O$7*S44</f>
        <v>0</v>
      </c>
      <c r="T118" s="68">
        <f t="shared" si="32"/>
        <v>0</v>
      </c>
      <c r="U118" s="68">
        <f t="shared" si="33"/>
        <v>296.103</v>
      </c>
    </row>
    <row r="119" spans="1:21" s="21" customFormat="1" ht="15.75">
      <c r="A119" s="22"/>
      <c r="B119" s="197" t="str">
        <f>Translation!A87</f>
        <v>Freight transport by road and removal services</v>
      </c>
      <c r="C119" s="79">
        <f>IF(AND(C$48&gt;0,($S$128+$V$137)&gt;0),($S$128+$V$137)/C$48,0)*C45</f>
        <v>0</v>
      </c>
      <c r="D119" s="79">
        <f>IF(AND(D$48&gt;0,$S$129&gt;0),($S$129)/D$48,0)*D45</f>
        <v>0</v>
      </c>
      <c r="E119" s="79">
        <f>IF(AND(E$48&gt;0,$S$130&gt;0),($S$130)/E$48,0)*E45</f>
        <v>0</v>
      </c>
      <c r="F119" s="68">
        <f t="shared" si="28"/>
        <v>0</v>
      </c>
      <c r="G119" s="79">
        <f>'CO2 factors'!C$7*G45</f>
        <v>0</v>
      </c>
      <c r="H119" s="79">
        <f>'CO2 factors'!D$7*H45</f>
        <v>2964.501</v>
      </c>
      <c r="I119" s="79">
        <f>'CO2 factors'!E$7*I45</f>
        <v>0</v>
      </c>
      <c r="J119" s="79">
        <f>'CO2 factors'!F$7*J45</f>
        <v>0</v>
      </c>
      <c r="K119" s="79">
        <f>'CO2 factors'!G$7*K45</f>
        <v>0</v>
      </c>
      <c r="L119" s="79">
        <f>'CO2 factors'!H$7*L45</f>
        <v>0</v>
      </c>
      <c r="M119" s="68">
        <f t="shared" si="30"/>
        <v>2964.501</v>
      </c>
      <c r="N119" s="79">
        <f>'CO2 factors'!J$7*N45</f>
        <v>0</v>
      </c>
      <c r="O119" s="79">
        <f>'CO2 factors'!K$7*O45</f>
        <v>0</v>
      </c>
      <c r="P119" s="79">
        <f>'CO2 factors'!L$7*P45</f>
        <v>0</v>
      </c>
      <c r="Q119" s="79">
        <f>'CO2 factors'!M$7*Q45</f>
        <v>0</v>
      </c>
      <c r="R119" s="79">
        <f>'CO2 factors'!N$7*R45</f>
        <v>0</v>
      </c>
      <c r="S119" s="79">
        <f>'CO2 factors'!O$7*S45</f>
        <v>0</v>
      </c>
      <c r="T119" s="68">
        <f t="shared" si="32"/>
        <v>0</v>
      </c>
      <c r="U119" s="68">
        <f t="shared" si="33"/>
        <v>2964.501</v>
      </c>
    </row>
    <row r="120" spans="1:21" s="21" customFormat="1" ht="30">
      <c r="A120" s="22"/>
      <c r="B120" s="197" t="str">
        <f>Translation!A88</f>
        <v>Other fleet for public and private services, and private transports</v>
      </c>
      <c r="C120" s="79">
        <f>IF(AND(C$48&gt;0,($S$128+$V$137)&gt;0),($S$128+$V$137)/C$48,0)*C46</f>
        <v>0</v>
      </c>
      <c r="D120" s="79">
        <f>IF(AND(D$48&gt;0,$S$129&gt;0),($S$129)/D$48,0)*D46</f>
        <v>0</v>
      </c>
      <c r="E120" s="79">
        <f>IF(AND(E$48&gt;0,$S$130&gt;0),($S$130)/E$48,0)*E46</f>
        <v>0</v>
      </c>
      <c r="F120" s="68">
        <f t="shared" si="28"/>
        <v>0</v>
      </c>
      <c r="G120" s="79">
        <f>'CO2 factors'!C$7*G46</f>
        <v>0</v>
      </c>
      <c r="H120" s="79">
        <f>'CO2 factors'!D$7*H46</f>
        <v>2195.541</v>
      </c>
      <c r="I120" s="79">
        <f>'CO2 factors'!E$7*I46</f>
        <v>5248.422</v>
      </c>
      <c r="J120" s="79">
        <f>'CO2 factors'!F$7*J46</f>
        <v>0</v>
      </c>
      <c r="K120" s="79">
        <f>'CO2 factors'!G$7*K46</f>
        <v>0</v>
      </c>
      <c r="L120" s="79">
        <f>'CO2 factors'!H$7*L46</f>
        <v>0</v>
      </c>
      <c r="M120" s="68">
        <f t="shared" si="30"/>
        <v>7443.963</v>
      </c>
      <c r="N120" s="79">
        <f>'CO2 factors'!J$7*N46</f>
        <v>0</v>
      </c>
      <c r="O120" s="79">
        <f>'CO2 factors'!K$7*O46</f>
        <v>0</v>
      </c>
      <c r="P120" s="79">
        <f>'CO2 factors'!L$7*P46</f>
        <v>0</v>
      </c>
      <c r="Q120" s="79">
        <f>'CO2 factors'!M$7*Q46</f>
        <v>0</v>
      </c>
      <c r="R120" s="79">
        <f>'CO2 factors'!N$7*R46</f>
        <v>0</v>
      </c>
      <c r="S120" s="79">
        <f>'CO2 factors'!O$7*S46</f>
        <v>0</v>
      </c>
      <c r="T120" s="68">
        <f t="shared" si="32"/>
        <v>0</v>
      </c>
      <c r="U120" s="68">
        <f t="shared" si="33"/>
        <v>7443.963</v>
      </c>
    </row>
    <row r="121" spans="1:21" s="21" customFormat="1" ht="15.75" hidden="1">
      <c r="A121" s="22"/>
      <c r="B121" s="196">
        <f>Translation!A89</f>
      </c>
      <c r="C121" s="79">
        <f>IF(AND(C$48&gt;0,($S$128+$V$137)&gt;0),($S$128+$V$137)/C$48,0)*C47</f>
        <v>0</v>
      </c>
      <c r="D121" s="79">
        <f>IF(AND(D$48&gt;0,$S$129&gt;0),($S$129)/D$48,0)*D47</f>
        <v>0</v>
      </c>
      <c r="E121" s="79">
        <f>IF(AND(E$48&gt;0,$S$130&gt;0),($S$130)/E$48,0)*E47</f>
        <v>0</v>
      </c>
      <c r="F121" s="68">
        <f t="shared" si="28"/>
        <v>0</v>
      </c>
      <c r="G121" s="79">
        <f>'CO2 factors'!C$7*G47</f>
        <v>0</v>
      </c>
      <c r="H121" s="79">
        <f>'CO2 factors'!D$7*H47</f>
        <v>0</v>
      </c>
      <c r="I121" s="79">
        <f>'CO2 factors'!E$7*I47</f>
        <v>0</v>
      </c>
      <c r="J121" s="79">
        <f>'CO2 factors'!F$7*J47</f>
        <v>0</v>
      </c>
      <c r="K121" s="79">
        <f>'CO2 factors'!G$7*K47</f>
        <v>0</v>
      </c>
      <c r="L121" s="79">
        <f>'CO2 factors'!H$7*L47</f>
        <v>0</v>
      </c>
      <c r="M121" s="68">
        <f t="shared" si="30"/>
        <v>0</v>
      </c>
      <c r="N121" s="79">
        <f>'CO2 factors'!J$7*N47</f>
        <v>0</v>
      </c>
      <c r="O121" s="79">
        <f>'CO2 factors'!K$7*O47</f>
        <v>0</v>
      </c>
      <c r="P121" s="79">
        <f>'CO2 factors'!L$7*P47</f>
        <v>0</v>
      </c>
      <c r="Q121" s="79">
        <f>'CO2 factors'!M$7*Q47</f>
        <v>0</v>
      </c>
      <c r="R121" s="79">
        <f>'CO2 factors'!N$7*R47</f>
        <v>0</v>
      </c>
      <c r="S121" s="79">
        <f>'CO2 factors'!O$7*S47</f>
        <v>0</v>
      </c>
      <c r="T121" s="68">
        <f t="shared" si="32"/>
        <v>0</v>
      </c>
      <c r="U121" s="68">
        <f t="shared" si="33"/>
        <v>0</v>
      </c>
    </row>
    <row r="122" spans="1:21" s="21" customFormat="1" ht="15.75">
      <c r="A122" s="22"/>
      <c r="B122" s="77" t="str">
        <f>Translation!A117</f>
        <v>TOTAL FOR INTERNAL MARKET</v>
      </c>
      <c r="C122" s="69">
        <f>C91+C101+C104+C108+C117</f>
        <v>22159.120000000003</v>
      </c>
      <c r="D122" s="69">
        <f>D91+D101+D104+D108+D117</f>
        <v>0</v>
      </c>
      <c r="E122" s="69">
        <f>E91+E101+E104+E108+E117</f>
        <v>0</v>
      </c>
      <c r="F122" s="68">
        <f t="shared" si="28"/>
        <v>22159.120000000003</v>
      </c>
      <c r="G122" s="69">
        <f aca="true" t="shared" si="48" ref="G122:L122">G91+G101+G104+G108+G117</f>
        <v>130.851</v>
      </c>
      <c r="H122" s="69">
        <f t="shared" si="48"/>
        <v>6833.331</v>
      </c>
      <c r="I122" s="69">
        <f t="shared" si="48"/>
        <v>5248.422</v>
      </c>
      <c r="J122" s="69">
        <f t="shared" si="48"/>
        <v>2.88</v>
      </c>
      <c r="K122" s="69">
        <f t="shared" si="48"/>
        <v>0</v>
      </c>
      <c r="L122" s="69">
        <f t="shared" si="48"/>
        <v>0</v>
      </c>
      <c r="M122" s="68">
        <f t="shared" si="30"/>
        <v>12215.483999999999</v>
      </c>
      <c r="N122" s="69">
        <f aca="true" t="shared" si="49" ref="N122:S122">N91+N101+N104+N108+N117</f>
        <v>0</v>
      </c>
      <c r="O122" s="69">
        <f t="shared" si="49"/>
        <v>0</v>
      </c>
      <c r="P122" s="69">
        <f t="shared" si="49"/>
        <v>0</v>
      </c>
      <c r="Q122" s="69">
        <f t="shared" si="49"/>
        <v>0</v>
      </c>
      <c r="R122" s="69">
        <f t="shared" si="49"/>
        <v>0</v>
      </c>
      <c r="S122" s="69">
        <f t="shared" si="49"/>
        <v>0</v>
      </c>
      <c r="T122" s="68">
        <f t="shared" si="32"/>
        <v>0</v>
      </c>
      <c r="U122" s="68">
        <f t="shared" si="33"/>
        <v>34374.604</v>
      </c>
    </row>
    <row r="123" spans="2:23" s="55" customFormat="1" ht="15">
      <c r="B123" s="67"/>
      <c r="C123" s="66"/>
      <c r="D123" s="66"/>
      <c r="E123" s="66"/>
      <c r="F123" s="66"/>
      <c r="G123" s="66"/>
      <c r="H123" s="66"/>
      <c r="I123" s="66"/>
      <c r="J123" s="66"/>
      <c r="K123" s="66"/>
      <c r="L123" s="66"/>
      <c r="M123" s="66"/>
      <c r="N123" s="66"/>
      <c r="O123" s="66"/>
      <c r="P123" s="66"/>
      <c r="Q123" s="66"/>
      <c r="R123" s="66"/>
      <c r="S123" s="66"/>
      <c r="T123" s="66"/>
      <c r="U123" s="66"/>
      <c r="V123" s="66"/>
      <c r="W123" s="66"/>
    </row>
    <row r="124" spans="2:31" s="90" customFormat="1" ht="31.5">
      <c r="B124" s="100" t="str">
        <f>Translation!A147</f>
        <v>CO2 EMISSIONS FROM PRODUCTION</v>
      </c>
      <c r="C124" s="101"/>
      <c r="D124" s="101"/>
      <c r="E124" s="101"/>
      <c r="F124" s="101"/>
      <c r="G124" s="101"/>
      <c r="H124" s="101"/>
      <c r="I124" s="101"/>
      <c r="J124" s="101"/>
      <c r="K124" s="101"/>
      <c r="L124" s="101"/>
      <c r="M124" s="101"/>
      <c r="N124" s="101"/>
      <c r="O124" s="101"/>
      <c r="P124" s="101"/>
      <c r="Q124" s="101"/>
      <c r="R124" s="101"/>
      <c r="S124" s="102" t="str">
        <f>Translation!$A$17</f>
        <v>[t CO2]</v>
      </c>
      <c r="T124" s="103"/>
      <c r="U124" s="104"/>
      <c r="V124" s="104"/>
      <c r="W124" s="102" t="str">
        <f>Translation!$A$19</f>
        <v>[t CO2/MWh]</v>
      </c>
      <c r="X124" s="96"/>
      <c r="Y124" s="96"/>
      <c r="Z124" s="96"/>
      <c r="AA124" s="96"/>
      <c r="AB124" s="96"/>
      <c r="AC124" s="96"/>
      <c r="AD124" s="96"/>
      <c r="AE124" s="96"/>
    </row>
    <row r="125" spans="2:31" s="55" customFormat="1" ht="30" customHeight="1">
      <c r="B125" s="321" t="str">
        <f>Translation!A120</f>
        <v>PRODUCTION SECTOR</v>
      </c>
      <c r="C125" s="297" t="str">
        <f>Translation!A142</f>
        <v>PRIMARY ENERGY SOURCE</v>
      </c>
      <c r="D125" s="298"/>
      <c r="E125" s="298"/>
      <c r="F125" s="298"/>
      <c r="G125" s="298"/>
      <c r="H125" s="298"/>
      <c r="I125" s="298"/>
      <c r="J125" s="298"/>
      <c r="K125" s="298"/>
      <c r="L125" s="298"/>
      <c r="M125" s="298"/>
      <c r="N125" s="298"/>
      <c r="O125" s="298"/>
      <c r="P125" s="298"/>
      <c r="Q125" s="298"/>
      <c r="R125" s="298"/>
      <c r="S125" s="299"/>
      <c r="T125" s="64"/>
      <c r="U125" s="306" t="str">
        <f>Translation!A122</f>
        <v>Energy product</v>
      </c>
      <c r="V125" s="307"/>
      <c r="W125" s="313" t="str">
        <f>Translation!A149</f>
        <v>CO2 EMISSION FACTORS</v>
      </c>
      <c r="X125" s="61"/>
      <c r="Y125" s="61"/>
      <c r="Z125" s="61"/>
      <c r="AA125" s="61"/>
      <c r="AB125" s="61"/>
      <c r="AC125" s="61"/>
      <c r="AD125" s="61"/>
      <c r="AE125" s="61"/>
    </row>
    <row r="126" spans="2:31" s="55" customFormat="1" ht="15" customHeight="1">
      <c r="B126" s="322"/>
      <c r="C126" s="297" t="str">
        <f>Translation!A98</f>
        <v>Fossil fuels</v>
      </c>
      <c r="D126" s="298"/>
      <c r="E126" s="298"/>
      <c r="F126" s="298"/>
      <c r="G126" s="298"/>
      <c r="H126" s="298"/>
      <c r="I126" s="299"/>
      <c r="J126" s="297" t="str">
        <f>Translation!A107</f>
        <v>Renewable energy sources</v>
      </c>
      <c r="K126" s="298"/>
      <c r="L126" s="298"/>
      <c r="M126" s="298"/>
      <c r="N126" s="298"/>
      <c r="O126" s="298"/>
      <c r="P126" s="298"/>
      <c r="Q126" s="298"/>
      <c r="R126" s="299"/>
      <c r="S126" s="316" t="str">
        <f>Translation!A118</f>
        <v>TOTAL</v>
      </c>
      <c r="T126" s="64"/>
      <c r="U126" s="308"/>
      <c r="V126" s="309"/>
      <c r="W126" s="314"/>
      <c r="X126" s="61"/>
      <c r="Y126" s="61"/>
      <c r="Z126" s="61"/>
      <c r="AA126" s="61"/>
      <c r="AB126" s="61"/>
      <c r="AC126" s="61"/>
      <c r="AD126" s="61"/>
      <c r="AE126" s="61"/>
    </row>
    <row r="127" spans="2:31" s="55" customFormat="1" ht="69.75" customHeight="1">
      <c r="B127" s="65" t="str">
        <f>Translation!A122</f>
        <v>Energy product</v>
      </c>
      <c r="C127" s="111" t="str">
        <f>Translation!A99</f>
        <v>Fueloil</v>
      </c>
      <c r="D127" s="111" t="str">
        <f>Translation!A100</f>
        <v>Diesel</v>
      </c>
      <c r="E127" s="111" t="str">
        <f>Translation!A101</f>
        <v>Gasoline</v>
      </c>
      <c r="F127" s="111" t="str">
        <f>Translation!A102</f>
        <v>LPG</v>
      </c>
      <c r="G127" s="111" t="str">
        <f>Translation!A103</f>
        <v>Natural gas</v>
      </c>
      <c r="H127" s="111" t="str">
        <f>Translation!A104</f>
        <v>Coal</v>
      </c>
      <c r="I127" s="111" t="str">
        <f>Translation!A116</f>
        <v>Subtotal</v>
      </c>
      <c r="J127" s="111" t="str">
        <f>Translation!A108</f>
        <v>Hydro</v>
      </c>
      <c r="K127" s="111" t="str">
        <f>Translation!A109</f>
        <v>Wind</v>
      </c>
      <c r="L127" s="111" t="str">
        <f>Translation!A110</f>
        <v>Solar</v>
      </c>
      <c r="M127" s="111" t="str">
        <f>Translation!A111</f>
        <v>Geothermal</v>
      </c>
      <c r="N127" s="111" t="str">
        <f>Translation!A112</f>
        <v>Ocean</v>
      </c>
      <c r="O127" s="111" t="str">
        <f>Translation!A113</f>
        <v>Biomass</v>
      </c>
      <c r="P127" s="111" t="str">
        <f>Translation!A114</f>
        <v>Urban waste</v>
      </c>
      <c r="Q127" s="111" t="str">
        <f>Translation!A115</f>
        <v>Energy recovery</v>
      </c>
      <c r="R127" s="111" t="str">
        <f>Translation!A116</f>
        <v>Subtotal</v>
      </c>
      <c r="S127" s="316"/>
      <c r="T127" s="64"/>
      <c r="U127" s="310"/>
      <c r="V127" s="311"/>
      <c r="W127" s="315"/>
      <c r="X127" s="61"/>
      <c r="Y127" s="61"/>
      <c r="Z127" s="61"/>
      <c r="AA127" s="61"/>
      <c r="AB127" s="61"/>
      <c r="AC127" s="61"/>
      <c r="AD127" s="61"/>
      <c r="AE127" s="61"/>
    </row>
    <row r="128" spans="2:31" s="55" customFormat="1" ht="15.75">
      <c r="B128" s="198" t="str">
        <f>Translation!A123</f>
        <v>Electricity</v>
      </c>
      <c r="C128" s="202">
        <f>'CO2 factors'!C$7*C67</f>
        <v>0</v>
      </c>
      <c r="D128" s="202">
        <f>'CO2 factors'!D$7*D67</f>
        <v>0</v>
      </c>
      <c r="E128" s="202">
        <f>'CO2 factors'!E$7*E67</f>
        <v>0</v>
      </c>
      <c r="F128" s="202">
        <f>'CO2 factors'!F$7*F67</f>
        <v>0</v>
      </c>
      <c r="G128" s="202">
        <f>'CO2 factors'!G$7*G67</f>
        <v>0</v>
      </c>
      <c r="H128" s="202">
        <f>'CO2 factors'!H$7*H67</f>
        <v>0</v>
      </c>
      <c r="I128" s="63">
        <f>SUM(C128:H128)</f>
        <v>0</v>
      </c>
      <c r="J128" s="202">
        <f>'CO2 factors'!J$7*J67</f>
        <v>0</v>
      </c>
      <c r="K128" s="202">
        <f>'CO2 factors'!K$7*K67</f>
        <v>0</v>
      </c>
      <c r="L128" s="202">
        <f>'CO2 factors'!L$7*L67</f>
        <v>0</v>
      </c>
      <c r="M128" s="202">
        <f>'CO2 factors'!M$7*M67</f>
        <v>0</v>
      </c>
      <c r="N128" s="202">
        <f>'CO2 factors'!N$7*N67</f>
        <v>0</v>
      </c>
      <c r="O128" s="202">
        <f>'CO2 factors'!O$7*O67</f>
        <v>0</v>
      </c>
      <c r="P128" s="202">
        <f>'CO2 factors'!P$7*P67</f>
        <v>0</v>
      </c>
      <c r="Q128" s="202">
        <f>'CO2 factors'!Q$7*Q67</f>
        <v>0</v>
      </c>
      <c r="R128" s="63">
        <f>SUM(J128:Q128)</f>
        <v>0</v>
      </c>
      <c r="S128" s="63">
        <f>I128+R128</f>
        <v>0</v>
      </c>
      <c r="T128" s="62"/>
      <c r="U128" s="304" t="str">
        <f>Translation!A123</f>
        <v>Electricity</v>
      </c>
      <c r="V128" s="305"/>
      <c r="W128" s="203">
        <f>IF(S58&gt;0,S128/S58,0)</f>
        <v>0</v>
      </c>
      <c r="X128" s="61"/>
      <c r="Y128" s="61"/>
      <c r="Z128" s="61"/>
      <c r="AA128" s="61"/>
      <c r="AB128" s="61"/>
      <c r="AC128" s="61"/>
      <c r="AD128" s="61"/>
      <c r="AE128" s="61"/>
    </row>
    <row r="129" spans="2:31" s="55" customFormat="1" ht="15.75">
      <c r="B129" s="198" t="str">
        <f>Translation!A124</f>
        <v>Heat</v>
      </c>
      <c r="C129" s="202">
        <f>'CO2 factors'!C$7*C68</f>
        <v>0</v>
      </c>
      <c r="D129" s="202">
        <f>'CO2 factors'!D$7*D68</f>
        <v>0</v>
      </c>
      <c r="E129" s="202">
        <f>'CO2 factors'!E$7*E68</f>
        <v>0</v>
      </c>
      <c r="F129" s="202">
        <f>'CO2 factors'!F$7*F68</f>
        <v>0</v>
      </c>
      <c r="G129" s="202">
        <f>'CO2 factors'!G$7*G68</f>
        <v>0</v>
      </c>
      <c r="H129" s="202">
        <f>'CO2 factors'!H$7*H68</f>
        <v>0</v>
      </c>
      <c r="I129" s="63">
        <f>SUM(C129:H129)</f>
        <v>0</v>
      </c>
      <c r="J129" s="202">
        <f>'CO2 factors'!J$7*J68</f>
        <v>0</v>
      </c>
      <c r="K129" s="202">
        <f>'CO2 factors'!K$7*K68</f>
        <v>0</v>
      </c>
      <c r="L129" s="202">
        <f>'CO2 factors'!L$7*L68</f>
        <v>0</v>
      </c>
      <c r="M129" s="202">
        <f>'CO2 factors'!M$7*M68</f>
        <v>0</v>
      </c>
      <c r="N129" s="202">
        <f>'CO2 factors'!N$7*N68</f>
        <v>0</v>
      </c>
      <c r="O129" s="202">
        <f>'CO2 factors'!O$7*O68</f>
        <v>0</v>
      </c>
      <c r="P129" s="202">
        <f>'CO2 factors'!P$7*P68</f>
        <v>0</v>
      </c>
      <c r="Q129" s="202">
        <f>'CO2 factors'!Q$7*Q68</f>
        <v>0</v>
      </c>
      <c r="R129" s="63">
        <f>SUM(J129:Q129)</f>
        <v>0</v>
      </c>
      <c r="S129" s="63">
        <f>I129+R129</f>
        <v>0</v>
      </c>
      <c r="T129" s="62"/>
      <c r="U129" s="312" t="str">
        <f>Translation!A124</f>
        <v>Heat</v>
      </c>
      <c r="V129" s="312"/>
      <c r="W129" s="203">
        <f>IF(S59&gt;0,S129/S59,0)</f>
        <v>0</v>
      </c>
      <c r="X129" s="61"/>
      <c r="Y129" s="61"/>
      <c r="Z129" s="61"/>
      <c r="AA129" s="61"/>
      <c r="AB129" s="61"/>
      <c r="AC129" s="61"/>
      <c r="AD129" s="61"/>
      <c r="AE129" s="61"/>
    </row>
    <row r="130" spans="2:31" s="55" customFormat="1" ht="15.75">
      <c r="B130" s="198" t="str">
        <f>Translation!A125</f>
        <v>Cold</v>
      </c>
      <c r="C130" s="202">
        <f>'CO2 factors'!C$7*C69</f>
        <v>0</v>
      </c>
      <c r="D130" s="202">
        <f>'CO2 factors'!D$7*D69</f>
        <v>0</v>
      </c>
      <c r="E130" s="202">
        <f>'CO2 factors'!E$7*E69</f>
        <v>0</v>
      </c>
      <c r="F130" s="202">
        <f>'CO2 factors'!F$7*F69</f>
        <v>0</v>
      </c>
      <c r="G130" s="202">
        <f>'CO2 factors'!G$7*G69</f>
        <v>0</v>
      </c>
      <c r="H130" s="202">
        <f>'CO2 factors'!H$7*H69</f>
        <v>0</v>
      </c>
      <c r="I130" s="63">
        <f>SUM(C130:H130)</f>
        <v>0</v>
      </c>
      <c r="J130" s="202">
        <f>'CO2 factors'!J$7*J69</f>
        <v>0</v>
      </c>
      <c r="K130" s="202">
        <f>'CO2 factors'!K$7*K69</f>
        <v>0</v>
      </c>
      <c r="L130" s="202">
        <f>'CO2 factors'!L$7*L69</f>
        <v>0</v>
      </c>
      <c r="M130" s="202">
        <f>'CO2 factors'!M$7*M69</f>
        <v>0</v>
      </c>
      <c r="N130" s="202">
        <f>'CO2 factors'!N$7*N69</f>
        <v>0</v>
      </c>
      <c r="O130" s="202">
        <f>'CO2 factors'!O$7*O69</f>
        <v>0</v>
      </c>
      <c r="P130" s="202">
        <f>'CO2 factors'!P$7*P69</f>
        <v>0</v>
      </c>
      <c r="Q130" s="202">
        <f>'CO2 factors'!Q$7*Q69</f>
        <v>0</v>
      </c>
      <c r="R130" s="63">
        <f>SUM(J130:Q130)</f>
        <v>0</v>
      </c>
      <c r="S130" s="63">
        <f>I130+R130</f>
        <v>0</v>
      </c>
      <c r="T130" s="62"/>
      <c r="U130" s="312" t="str">
        <f>Translation!A125</f>
        <v>Cold</v>
      </c>
      <c r="V130" s="312"/>
      <c r="W130" s="203">
        <f>IF(S60&gt;0,S130/S60,0)</f>
        <v>0</v>
      </c>
      <c r="X130" s="61"/>
      <c r="Y130" s="61"/>
      <c r="Z130" s="61"/>
      <c r="AA130" s="61"/>
      <c r="AB130" s="61"/>
      <c r="AC130" s="61"/>
      <c r="AD130" s="61"/>
      <c r="AE130" s="61"/>
    </row>
    <row r="131" spans="2:30" s="55" customFormat="1" ht="15.75">
      <c r="B131" s="74" t="str">
        <f>Translation!A118</f>
        <v>TOTAL</v>
      </c>
      <c r="C131" s="57">
        <f aca="true" t="shared" si="50" ref="C131:S131">SUM(C128:C130)</f>
        <v>0</v>
      </c>
      <c r="D131" s="57">
        <f t="shared" si="50"/>
        <v>0</v>
      </c>
      <c r="E131" s="57">
        <f t="shared" si="50"/>
        <v>0</v>
      </c>
      <c r="F131" s="57">
        <f t="shared" si="50"/>
        <v>0</v>
      </c>
      <c r="G131" s="57">
        <f t="shared" si="50"/>
        <v>0</v>
      </c>
      <c r="H131" s="57">
        <f t="shared" si="50"/>
        <v>0</v>
      </c>
      <c r="I131" s="57">
        <f t="shared" si="50"/>
        <v>0</v>
      </c>
      <c r="J131" s="57">
        <f t="shared" si="50"/>
        <v>0</v>
      </c>
      <c r="K131" s="57">
        <f t="shared" si="50"/>
        <v>0</v>
      </c>
      <c r="L131" s="57">
        <f t="shared" si="50"/>
        <v>0</v>
      </c>
      <c r="M131" s="57">
        <f t="shared" si="50"/>
        <v>0</v>
      </c>
      <c r="N131" s="57">
        <f t="shared" si="50"/>
        <v>0</v>
      </c>
      <c r="O131" s="57">
        <f t="shared" si="50"/>
        <v>0</v>
      </c>
      <c r="P131" s="57">
        <f t="shared" si="50"/>
        <v>0</v>
      </c>
      <c r="Q131" s="57">
        <f t="shared" si="50"/>
        <v>0</v>
      </c>
      <c r="R131" s="57">
        <f t="shared" si="50"/>
        <v>0</v>
      </c>
      <c r="S131" s="57">
        <f t="shared" si="50"/>
        <v>0</v>
      </c>
      <c r="T131" s="60"/>
      <c r="U131" s="60"/>
      <c r="V131" s="61"/>
      <c r="W131" s="61"/>
      <c r="X131" s="61"/>
      <c r="Y131" s="61"/>
      <c r="Z131" s="61"/>
      <c r="AA131" s="61"/>
      <c r="AB131" s="61"/>
      <c r="AC131" s="60"/>
      <c r="AD131" s="61"/>
    </row>
    <row r="132" s="59" customFormat="1" ht="15">
      <c r="B132" s="78"/>
    </row>
    <row r="133" spans="2:28" s="90" customFormat="1" ht="31.5">
      <c r="B133" s="91" t="str">
        <f>Translation!A146</f>
        <v>CO2 EMISSIONS</v>
      </c>
      <c r="C133" s="93"/>
      <c r="D133" s="93"/>
      <c r="E133" s="93"/>
      <c r="F133" s="93"/>
      <c r="G133" s="93"/>
      <c r="H133" s="93"/>
      <c r="I133" s="94"/>
      <c r="M133" s="94"/>
      <c r="Y133" s="92" t="str">
        <f>Translation!$A$17</f>
        <v>[t CO2]</v>
      </c>
      <c r="AB133" s="92" t="str">
        <f>Translation!$A$17</f>
        <v>[t CO2]</v>
      </c>
    </row>
    <row r="134" spans="2:28" s="55" customFormat="1" ht="30" customHeight="1">
      <c r="B134" s="329" t="str">
        <f>Translation!A122</f>
        <v>Energy product</v>
      </c>
      <c r="C134" s="294" t="str">
        <f>Translation!A142</f>
        <v>PRIMARY ENERGY SOURCE</v>
      </c>
      <c r="D134" s="295"/>
      <c r="E134" s="295"/>
      <c r="F134" s="295"/>
      <c r="G134" s="295"/>
      <c r="H134" s="295"/>
      <c r="I134" s="295"/>
      <c r="J134" s="295"/>
      <c r="K134" s="295"/>
      <c r="L134" s="295"/>
      <c r="M134" s="295"/>
      <c r="N134" s="295"/>
      <c r="O134" s="295"/>
      <c r="P134" s="295"/>
      <c r="Q134" s="295"/>
      <c r="R134" s="295"/>
      <c r="S134" s="295"/>
      <c r="T134" s="295"/>
      <c r="U134" s="295"/>
      <c r="V134" s="295"/>
      <c r="W134" s="295"/>
      <c r="X134" s="295"/>
      <c r="Y134" s="296"/>
      <c r="AA134" s="313" t="str">
        <f>Translation!A150</f>
        <v>CO2 emissions from ETS installations included in the calculations for final use of energy</v>
      </c>
      <c r="AB134" s="313" t="str">
        <f>Translation!A151</f>
        <v>CO2 emissions from ETS installations included in the calculations for secondary energy production</v>
      </c>
    </row>
    <row r="135" spans="2:28" s="55" customFormat="1" ht="15" customHeight="1">
      <c r="B135" s="330"/>
      <c r="C135" s="294" t="str">
        <f>Translation!A98</f>
        <v>Fossil fuels</v>
      </c>
      <c r="D135" s="295"/>
      <c r="E135" s="295"/>
      <c r="F135" s="295"/>
      <c r="G135" s="295"/>
      <c r="H135" s="295"/>
      <c r="I135" s="296"/>
      <c r="J135" s="294" t="str">
        <f>Translation!A107</f>
        <v>Renewable energy sources</v>
      </c>
      <c r="K135" s="295"/>
      <c r="L135" s="295"/>
      <c r="M135" s="295"/>
      <c r="N135" s="295"/>
      <c r="O135" s="295"/>
      <c r="P135" s="295"/>
      <c r="Q135" s="295"/>
      <c r="R135" s="296"/>
      <c r="S135" s="300" t="str">
        <f>Translation!A123</f>
        <v>Electricity</v>
      </c>
      <c r="T135" s="301"/>
      <c r="U135" s="301"/>
      <c r="V135" s="302"/>
      <c r="W135" s="114" t="str">
        <f>Translation!A124</f>
        <v>Heat</v>
      </c>
      <c r="X135" s="114" t="str">
        <f>Translation!A125</f>
        <v>Cold</v>
      </c>
      <c r="Y135" s="275" t="str">
        <f>Translation!A118</f>
        <v>TOTAL</v>
      </c>
      <c r="AA135" s="314"/>
      <c r="AB135" s="314"/>
    </row>
    <row r="136" spans="2:28" s="55" customFormat="1" ht="90.75" customHeight="1">
      <c r="B136" s="331"/>
      <c r="C136" s="112" t="str">
        <f>Translation!A99</f>
        <v>Fueloil</v>
      </c>
      <c r="D136" s="112" t="str">
        <f>Translation!A100</f>
        <v>Diesel</v>
      </c>
      <c r="E136" s="112" t="str">
        <f>Translation!A101</f>
        <v>Gasoline</v>
      </c>
      <c r="F136" s="112" t="str">
        <f>Translation!A102</f>
        <v>LPG</v>
      </c>
      <c r="G136" s="112" t="str">
        <f>Translation!A103</f>
        <v>Natural gas</v>
      </c>
      <c r="H136" s="112" t="str">
        <f>Translation!A104</f>
        <v>Coal</v>
      </c>
      <c r="I136" s="112" t="str">
        <f>Translation!A116</f>
        <v>Subtotal</v>
      </c>
      <c r="J136" s="112" t="str">
        <f>Translation!A108</f>
        <v>Hydro</v>
      </c>
      <c r="K136" s="112" t="str">
        <f>Translation!A109</f>
        <v>Wind</v>
      </c>
      <c r="L136" s="112" t="str">
        <f>Translation!A110</f>
        <v>Solar</v>
      </c>
      <c r="M136" s="112" t="str">
        <f>Translation!A111</f>
        <v>Geothermal</v>
      </c>
      <c r="N136" s="112" t="str">
        <f>Translation!A112</f>
        <v>Ocean</v>
      </c>
      <c r="O136" s="112" t="str">
        <f>Translation!A113</f>
        <v>Biomass</v>
      </c>
      <c r="P136" s="112" t="str">
        <f>Translation!A114</f>
        <v>Urban waste</v>
      </c>
      <c r="Q136" s="112" t="str">
        <f>Translation!A115</f>
        <v>Energy recovery</v>
      </c>
      <c r="R136" s="112" t="str">
        <f>Translation!A116</f>
        <v>Subtotal</v>
      </c>
      <c r="S136" s="58" t="str">
        <f>Translation!A144</f>
        <v>Imported electricity (cable)</v>
      </c>
      <c r="T136" s="58" t="str">
        <f>Translation!A145</f>
        <v>Exported electricity (cable)</v>
      </c>
      <c r="U136" s="58" t="str">
        <f>Translation!A136</f>
        <v>Reexportation and external consumption</v>
      </c>
      <c r="V136" s="110" t="str">
        <f>Translation!A116</f>
        <v>Subtotal</v>
      </c>
      <c r="W136" s="110" t="str">
        <f>Translation!A136</f>
        <v>Reexportation and external consumption</v>
      </c>
      <c r="X136" s="110" t="str">
        <f>Translation!A136</f>
        <v>Reexportation and external consumption</v>
      </c>
      <c r="Y136" s="275"/>
      <c r="AA136" s="315"/>
      <c r="AB136" s="315"/>
    </row>
    <row r="137" spans="2:28" s="55" customFormat="1" ht="15.75">
      <c r="B137" s="113" t="str">
        <f>Translation!A118</f>
        <v>TOTAL</v>
      </c>
      <c r="C137" s="199">
        <f>'CO2 factors'!C$7*C76</f>
        <v>130.851</v>
      </c>
      <c r="D137" s="199">
        <f>'CO2 factors'!D$7*D76</f>
        <v>6833.331</v>
      </c>
      <c r="E137" s="199">
        <f>'CO2 factors'!E$7*E76</f>
        <v>5248.422</v>
      </c>
      <c r="F137" s="199">
        <f>'CO2 factors'!F$7*F76</f>
        <v>2.88</v>
      </c>
      <c r="G137" s="199">
        <f>'CO2 factors'!G$7*G76</f>
        <v>0</v>
      </c>
      <c r="H137" s="199">
        <f>'CO2 factors'!H$7*H76</f>
        <v>0</v>
      </c>
      <c r="I137" s="57">
        <f>SUM(C137:H137)</f>
        <v>12215.483999999999</v>
      </c>
      <c r="J137" s="199">
        <f>'CO2 factors'!J$7*J76</f>
        <v>0</v>
      </c>
      <c r="K137" s="199">
        <f>'CO2 factors'!K$7*K76</f>
        <v>0</v>
      </c>
      <c r="L137" s="199">
        <f>'CO2 factors'!L$7*L76</f>
        <v>0</v>
      </c>
      <c r="M137" s="199">
        <f>'CO2 factors'!M$7*M76</f>
        <v>0</v>
      </c>
      <c r="N137" s="199">
        <f>'CO2 factors'!N$7*N76</f>
        <v>0</v>
      </c>
      <c r="O137" s="199">
        <f>'CO2 factors'!O$7*O76</f>
        <v>0</v>
      </c>
      <c r="P137" s="199">
        <f>'CO2 factors'!P$7*P76</f>
        <v>0</v>
      </c>
      <c r="Q137" s="199">
        <f>'CO2 factors'!Q$7*Q76</f>
        <v>0</v>
      </c>
      <c r="R137" s="57">
        <f>SUM(J137:Q137)</f>
        <v>0</v>
      </c>
      <c r="S137" s="199">
        <f>'CO2 factors'!S$7*S76</f>
        <v>22159.120000000003</v>
      </c>
      <c r="T137" s="199">
        <f>'CO2 factors'!T$7*T76</f>
        <v>0</v>
      </c>
      <c r="U137" s="199">
        <f>$W$128*U76</f>
        <v>0</v>
      </c>
      <c r="V137" s="57">
        <f>S137-T137-U137</f>
        <v>22159.120000000003</v>
      </c>
      <c r="W137" s="199">
        <f>$W$129*W76</f>
        <v>0</v>
      </c>
      <c r="X137" s="199">
        <f>$W$130*X76</f>
        <v>0</v>
      </c>
      <c r="Y137" s="57">
        <f>I137+R137+V137-W137-X137</f>
        <v>34374.604</v>
      </c>
      <c r="AA137" s="162"/>
      <c r="AB137" s="162"/>
    </row>
    <row r="138" s="55" customFormat="1" ht="15">
      <c r="B138" s="56"/>
    </row>
    <row r="139" spans="1:2" ht="15.75" customHeight="1">
      <c r="A139" s="152"/>
      <c r="B139" s="153"/>
    </row>
    <row r="140" spans="1:20" ht="18.75" customHeight="1">
      <c r="A140" s="151"/>
      <c r="B140" s="264" t="str">
        <f>Translation!A153</f>
        <v>Go to the next sheet dedicated to your Emission Inventory in 2020 </v>
      </c>
      <c r="C140" s="254"/>
      <c r="D140" s="254"/>
      <c r="E140" s="254"/>
      <c r="F140" s="254"/>
      <c r="G140" s="254"/>
      <c r="H140" s="254"/>
      <c r="I140" s="254"/>
      <c r="J140" s="254"/>
      <c r="K140" s="254"/>
      <c r="L140" s="254"/>
      <c r="M140" s="254"/>
      <c r="N140" s="254"/>
      <c r="O140" s="254"/>
      <c r="P140" s="254"/>
      <c r="Q140" s="254"/>
      <c r="R140" s="254"/>
      <c r="S140" s="154"/>
      <c r="T140" s="154"/>
    </row>
    <row r="141" spans="1:20" ht="18.75" customHeight="1">
      <c r="A141" s="151"/>
      <c r="B141" s="155"/>
      <c r="C141" s="155"/>
      <c r="D141" s="155"/>
      <c r="E141" s="155"/>
      <c r="F141" s="155"/>
      <c r="G141" s="155"/>
      <c r="H141" s="155"/>
      <c r="I141" s="155"/>
      <c r="J141" s="155"/>
      <c r="K141" s="155"/>
      <c r="L141" s="155"/>
      <c r="M141" s="155"/>
      <c r="N141" s="155"/>
      <c r="O141" s="155"/>
      <c r="P141" s="155"/>
      <c r="Q141" s="155"/>
      <c r="R141" s="155"/>
      <c r="S141" s="154"/>
      <c r="T141" s="154"/>
    </row>
    <row r="142" spans="2:21" ht="12.75" customHeight="1">
      <c r="B142" s="281" t="str">
        <f>Translation!$A$211</f>
        <v>DISCLAIMER: The sole responsibility for the content of this document lies with the authors. It does not necessarily reflect the opinion of the European Communities. The European Commission is not responsible for any use that may be made of the information contained therein.</v>
      </c>
      <c r="C142" s="281"/>
      <c r="D142" s="281"/>
      <c r="E142" s="281"/>
      <c r="F142" s="281"/>
      <c r="G142" s="281"/>
      <c r="H142" s="281"/>
      <c r="I142" s="281"/>
      <c r="J142" s="281"/>
      <c r="K142" s="281"/>
      <c r="L142" s="281"/>
      <c r="M142" s="281"/>
      <c r="N142" s="281"/>
      <c r="O142" s="281"/>
      <c r="P142" s="281"/>
      <c r="Q142" s="281"/>
      <c r="R142" s="281"/>
      <c r="S142" s="281"/>
      <c r="T142" s="281"/>
      <c r="U142" s="281"/>
    </row>
    <row r="143" spans="2:21" ht="12.75" customHeight="1">
      <c r="B143" s="281"/>
      <c r="C143" s="281"/>
      <c r="D143" s="281"/>
      <c r="E143" s="281"/>
      <c r="F143" s="281"/>
      <c r="G143" s="281"/>
      <c r="H143" s="281"/>
      <c r="I143" s="281"/>
      <c r="J143" s="281"/>
      <c r="K143" s="281"/>
      <c r="L143" s="281"/>
      <c r="M143" s="281"/>
      <c r="N143" s="281"/>
      <c r="O143" s="281"/>
      <c r="P143" s="281"/>
      <c r="Q143" s="281"/>
      <c r="R143" s="281"/>
      <c r="S143" s="281"/>
      <c r="T143" s="281"/>
      <c r="U143" s="281"/>
    </row>
    <row r="144" spans="2:21" ht="12.75" customHeight="1">
      <c r="B144" s="281"/>
      <c r="C144" s="281"/>
      <c r="D144" s="281"/>
      <c r="E144" s="281"/>
      <c r="F144" s="281"/>
      <c r="G144" s="281"/>
      <c r="H144" s="281"/>
      <c r="I144" s="281"/>
      <c r="J144" s="281"/>
      <c r="K144" s="281"/>
      <c r="L144" s="281"/>
      <c r="M144" s="281"/>
      <c r="N144" s="281"/>
      <c r="O144" s="281"/>
      <c r="P144" s="281"/>
      <c r="Q144" s="281"/>
      <c r="R144" s="281"/>
      <c r="S144" s="281"/>
      <c r="T144" s="281"/>
      <c r="U144" s="281"/>
    </row>
  </sheetData>
  <sheetProtection/>
  <mergeCells count="70">
    <mergeCell ref="A1:U1"/>
    <mergeCell ref="B142:U144"/>
    <mergeCell ref="C88:U88"/>
    <mergeCell ref="C89:F89"/>
    <mergeCell ref="G89:M89"/>
    <mergeCell ref="N89:T89"/>
    <mergeCell ref="U89:U90"/>
    <mergeCell ref="B88:B89"/>
    <mergeCell ref="S135:V135"/>
    <mergeCell ref="B134:B136"/>
    <mergeCell ref="B140:R140"/>
    <mergeCell ref="B14:B15"/>
    <mergeCell ref="J74:R74"/>
    <mergeCell ref="C79:S79"/>
    <mergeCell ref="J80:R80"/>
    <mergeCell ref="S65:S66"/>
    <mergeCell ref="B79:B80"/>
    <mergeCell ref="B73:B75"/>
    <mergeCell ref="B64:B65"/>
    <mergeCell ref="B125:B126"/>
    <mergeCell ref="C8:D8"/>
    <mergeCell ref="S6:U6"/>
    <mergeCell ref="C10:J10"/>
    <mergeCell ref="A4:U4"/>
    <mergeCell ref="C55:S55"/>
    <mergeCell ref="J56:R56"/>
    <mergeCell ref="C14:U14"/>
    <mergeCell ref="C15:F15"/>
    <mergeCell ref="G15:M15"/>
    <mergeCell ref="N15:T15"/>
    <mergeCell ref="U15:U16"/>
    <mergeCell ref="U56:U57"/>
    <mergeCell ref="T56:T57"/>
    <mergeCell ref="S56:S57"/>
    <mergeCell ref="C56:I56"/>
    <mergeCell ref="J65:R65"/>
    <mergeCell ref="AD55:AD57"/>
    <mergeCell ref="W55:AB55"/>
    <mergeCell ref="AC55:AC57"/>
    <mergeCell ref="AA56:AA57"/>
    <mergeCell ref="Y56:Z56"/>
    <mergeCell ref="AB56:AB57"/>
    <mergeCell ref="W56:X56"/>
    <mergeCell ref="V56:V57"/>
    <mergeCell ref="T55:V55"/>
    <mergeCell ref="AB134:AB136"/>
    <mergeCell ref="W125:W127"/>
    <mergeCell ref="S126:S127"/>
    <mergeCell ref="C134:Y134"/>
    <mergeCell ref="U129:V129"/>
    <mergeCell ref="AA134:AA136"/>
    <mergeCell ref="Y135:Y136"/>
    <mergeCell ref="Y74:Y75"/>
    <mergeCell ref="C73:Y73"/>
    <mergeCell ref="U125:V127"/>
    <mergeCell ref="U130:V130"/>
    <mergeCell ref="J126:R126"/>
    <mergeCell ref="C125:S125"/>
    <mergeCell ref="C74:I74"/>
    <mergeCell ref="C80:I80"/>
    <mergeCell ref="T64:T66"/>
    <mergeCell ref="C65:I65"/>
    <mergeCell ref="B55:B56"/>
    <mergeCell ref="C135:I135"/>
    <mergeCell ref="C126:I126"/>
    <mergeCell ref="S74:V74"/>
    <mergeCell ref="S80:S81"/>
    <mergeCell ref="U128:V128"/>
    <mergeCell ref="J135:R135"/>
    <mergeCell ref="C64:S64"/>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30" r:id="rId2"/>
  <drawing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AF144"/>
  <sheetViews>
    <sheetView showGridLines="0" showZeros="0" zoomScale="60" zoomScaleNormal="60" zoomScalePageLayoutView="0" workbookViewId="0" topLeftCell="A1">
      <selection activeCell="C8" sqref="C8:D8"/>
    </sheetView>
  </sheetViews>
  <sheetFormatPr defaultColWidth="11.421875" defaultRowHeight="15"/>
  <cols>
    <col min="1" max="1" width="6.7109375" style="124" customWidth="1"/>
    <col min="2" max="2" width="56.140625" style="124" customWidth="1"/>
    <col min="3" max="3" width="13.57421875" style="124" customWidth="1"/>
    <col min="4" max="4" width="12.7109375" style="124" customWidth="1"/>
    <col min="5" max="5" width="11.57421875" style="124" customWidth="1"/>
    <col min="6" max="6" width="11.140625" style="124" customWidth="1"/>
    <col min="7" max="7" width="11.28125" style="124" customWidth="1"/>
    <col min="8" max="8" width="11.140625" style="124" customWidth="1"/>
    <col min="9" max="9" width="12.421875" style="124" customWidth="1"/>
    <col min="10" max="10" width="10.7109375" style="124" customWidth="1"/>
    <col min="11" max="11" width="12.00390625" style="124" customWidth="1"/>
    <col min="12" max="12" width="10.00390625" style="124" customWidth="1"/>
    <col min="13" max="13" width="15.00390625" style="124" customWidth="1"/>
    <col min="14" max="14" width="11.28125" style="124" customWidth="1"/>
    <col min="15" max="16" width="11.421875" style="124" customWidth="1"/>
    <col min="17" max="17" width="14.421875" style="124" customWidth="1"/>
    <col min="18" max="18" width="12.57421875" style="124" customWidth="1"/>
    <col min="19" max="19" width="13.7109375" style="124" customWidth="1"/>
    <col min="20" max="20" width="14.7109375" style="124" customWidth="1"/>
    <col min="21" max="21" width="17.8515625" style="124" customWidth="1"/>
    <col min="22" max="22" width="12.8515625" style="124" customWidth="1"/>
    <col min="23" max="23" width="17.28125" style="124" customWidth="1"/>
    <col min="24" max="24" width="19.421875" style="124" customWidth="1"/>
    <col min="25" max="25" width="14.140625" style="124" customWidth="1"/>
    <col min="26" max="26" width="14.00390625" style="124" customWidth="1"/>
    <col min="27" max="27" width="17.8515625" style="124" customWidth="1"/>
    <col min="28" max="28" width="16.00390625" style="124" customWidth="1"/>
    <col min="29" max="29" width="11.421875" style="124" customWidth="1"/>
    <col min="30" max="30" width="16.57421875" style="124" customWidth="1"/>
    <col min="31" max="16384" width="11.421875" style="124" customWidth="1"/>
  </cols>
  <sheetData>
    <row r="1" spans="1:21" s="21" customFormat="1" ht="116.25" customHeight="1">
      <c r="A1" s="271" t="str">
        <f>Translation!$A$31</f>
        <v>Island  Sustainable Energy Action Plan (ISEAP)</v>
      </c>
      <c r="B1" s="271"/>
      <c r="C1" s="271"/>
      <c r="D1" s="271"/>
      <c r="E1" s="271"/>
      <c r="F1" s="271"/>
      <c r="G1" s="271"/>
      <c r="H1" s="271"/>
      <c r="I1" s="271"/>
      <c r="J1" s="271"/>
      <c r="K1" s="271"/>
      <c r="L1" s="271"/>
      <c r="M1" s="271"/>
      <c r="N1" s="271"/>
      <c r="O1" s="271"/>
      <c r="P1" s="271"/>
      <c r="Q1" s="271"/>
      <c r="R1" s="271"/>
      <c r="S1" s="271"/>
      <c r="T1" s="271"/>
      <c r="U1" s="271"/>
    </row>
    <row r="2" spans="1:21" s="21" customFormat="1" ht="28.5" customHeight="1">
      <c r="A2" s="81"/>
      <c r="B2" s="82" t="s">
        <v>24</v>
      </c>
      <c r="C2" s="81"/>
      <c r="D2" s="81"/>
      <c r="E2" s="81"/>
      <c r="F2" s="85"/>
      <c r="G2" s="85"/>
      <c r="H2" s="86"/>
      <c r="I2" s="83" t="str">
        <f>Translation!$A$10</f>
        <v>Island</v>
      </c>
      <c r="J2" s="84" t="str">
        <f>'Start here'!$B$5</f>
        <v>Hiiumaa</v>
      </c>
      <c r="K2" s="86"/>
      <c r="L2" s="86"/>
      <c r="M2" s="86"/>
      <c r="N2" s="86"/>
      <c r="O2" s="86"/>
      <c r="P2" s="86"/>
      <c r="Q2" s="86"/>
      <c r="R2" s="158"/>
      <c r="S2" s="160"/>
      <c r="T2" s="83" t="str">
        <f>Translation!$A$51</f>
        <v>Inventory year</v>
      </c>
      <c r="U2" s="159">
        <v>2020</v>
      </c>
    </row>
    <row r="3" spans="1:20" ht="28.5" customHeight="1">
      <c r="A3" s="123"/>
      <c r="D3" s="123"/>
      <c r="E3" s="123"/>
      <c r="F3" s="123"/>
      <c r="G3" s="123"/>
      <c r="H3" s="123"/>
      <c r="I3" s="123"/>
      <c r="J3" s="125"/>
      <c r="K3" s="125"/>
      <c r="T3" s="27"/>
    </row>
    <row r="4" spans="1:30" ht="46.5" customHeight="1">
      <c r="A4" s="259" t="str">
        <f>Translation!A154</f>
        <v>PLAN EMISSION INVENTORY IN 2020 (implementing sustainable energy actions)</v>
      </c>
      <c r="B4" s="259"/>
      <c r="C4" s="259"/>
      <c r="D4" s="259"/>
      <c r="E4" s="259"/>
      <c r="F4" s="259"/>
      <c r="G4" s="259"/>
      <c r="H4" s="259"/>
      <c r="I4" s="259"/>
      <c r="J4" s="259"/>
      <c r="K4" s="259"/>
      <c r="L4" s="259"/>
      <c r="M4" s="259"/>
      <c r="N4" s="259"/>
      <c r="O4" s="259"/>
      <c r="P4" s="259"/>
      <c r="Q4" s="259"/>
      <c r="R4" s="259"/>
      <c r="S4" s="259"/>
      <c r="T4" s="259"/>
      <c r="U4" s="259"/>
      <c r="V4" s="206"/>
      <c r="W4" s="206"/>
      <c r="X4" s="206"/>
      <c r="Y4" s="206"/>
      <c r="Z4" s="206"/>
      <c r="AA4" s="206"/>
      <c r="AB4" s="206"/>
      <c r="AC4" s="206"/>
      <c r="AD4" s="206"/>
    </row>
    <row r="5" spans="1:14" ht="13.5" customHeight="1">
      <c r="A5" s="127"/>
      <c r="B5" s="128"/>
      <c r="C5" s="129"/>
      <c r="D5" s="129"/>
      <c r="E5" s="129"/>
      <c r="F5" s="129"/>
      <c r="G5" s="129"/>
      <c r="H5" s="129"/>
      <c r="I5" s="129"/>
      <c r="J5" s="129"/>
      <c r="K5" s="130"/>
      <c r="L5" s="130"/>
      <c r="M5" s="130"/>
      <c r="N5" s="130"/>
    </row>
    <row r="6" spans="1:21" ht="18.75" customHeight="1">
      <c r="A6" s="135"/>
      <c r="B6" s="144"/>
      <c r="C6" s="145"/>
      <c r="D6" s="146"/>
      <c r="E6" s="146"/>
      <c r="F6" s="146"/>
      <c r="G6" s="147"/>
      <c r="H6" s="148"/>
      <c r="S6" s="260" t="str">
        <f>Translation!$A$53</f>
        <v>Mandatory fields</v>
      </c>
      <c r="T6" s="260"/>
      <c r="U6" s="260"/>
    </row>
    <row r="7" spans="1:12" s="133" customFormat="1" ht="36">
      <c r="A7" s="131" t="s">
        <v>1089</v>
      </c>
      <c r="B7" s="132" t="str">
        <f>Translation!A50</f>
        <v>GENERAL DATA</v>
      </c>
      <c r="L7" s="134"/>
    </row>
    <row r="8" spans="1:7" ht="21">
      <c r="A8" s="135"/>
      <c r="B8" s="137" t="str">
        <f>Translation!A52</f>
        <v>Number of inhabitants</v>
      </c>
      <c r="C8" s="326">
        <v>10000</v>
      </c>
      <c r="D8" s="327"/>
      <c r="E8" s="161" t="str">
        <f>"("&amp;U2&amp;")"</f>
        <v>(2020)</v>
      </c>
      <c r="F8" s="138"/>
      <c r="G8" s="139"/>
    </row>
    <row r="9" spans="1:11" ht="11.25" customHeight="1">
      <c r="A9" s="135"/>
      <c r="B9" s="138"/>
      <c r="C9" s="138"/>
      <c r="D9" s="138"/>
      <c r="E9" s="136"/>
      <c r="F9" s="136"/>
      <c r="G9" s="136"/>
      <c r="H9" s="140"/>
      <c r="I9" s="138"/>
      <c r="J9" s="139"/>
      <c r="K9" s="141"/>
    </row>
    <row r="10" spans="1:11" ht="21">
      <c r="A10" s="142"/>
      <c r="B10" s="136" t="str">
        <f>Translation!A13</f>
        <v>CO2 calculation method</v>
      </c>
      <c r="C10" s="328" t="str">
        <f>'Start here'!F7</f>
        <v>IPCC emission factors</v>
      </c>
      <c r="D10" s="328"/>
      <c r="E10" s="328"/>
      <c r="F10" s="328"/>
      <c r="G10" s="328"/>
      <c r="H10" s="328"/>
      <c r="I10" s="328"/>
      <c r="J10" s="328"/>
      <c r="K10" s="143"/>
    </row>
    <row r="11" spans="1:18" ht="17.25" customHeight="1">
      <c r="A11" s="126"/>
      <c r="B11" s="126"/>
      <c r="C11" s="126"/>
      <c r="D11" s="126"/>
      <c r="E11" s="126"/>
      <c r="F11" s="126"/>
      <c r="G11" s="126"/>
      <c r="H11" s="126"/>
      <c r="I11" s="126"/>
      <c r="J11" s="126"/>
      <c r="K11" s="126"/>
      <c r="L11" s="126"/>
      <c r="M11" s="126"/>
      <c r="N11" s="126"/>
      <c r="O11" s="126"/>
      <c r="P11" s="126"/>
      <c r="Q11" s="126"/>
      <c r="R11" s="126"/>
    </row>
    <row r="12" spans="1:14" s="133" customFormat="1" ht="36">
      <c r="A12" s="131" t="s">
        <v>1093</v>
      </c>
      <c r="B12" s="132" t="str">
        <f>Translation!A54</f>
        <v>RESULTS OF ENERGY BALANCE</v>
      </c>
      <c r="C12" s="131"/>
      <c r="D12" s="132"/>
      <c r="E12" s="131"/>
      <c r="F12" s="132"/>
      <c r="G12" s="131"/>
      <c r="H12" s="132"/>
      <c r="I12" s="131"/>
      <c r="J12" s="132"/>
      <c r="K12" s="149"/>
      <c r="L12" s="149"/>
      <c r="M12" s="149"/>
      <c r="N12" s="149"/>
    </row>
    <row r="13" spans="2:21" s="90" customFormat="1" ht="31.5">
      <c r="B13" s="91" t="str">
        <f>Translation!A55</f>
        <v>FINAL ENERGY DEMAND</v>
      </c>
      <c r="C13" s="91"/>
      <c r="D13" s="91"/>
      <c r="E13" s="91"/>
      <c r="F13" s="91"/>
      <c r="G13" s="91"/>
      <c r="H13" s="91"/>
      <c r="I13" s="91"/>
      <c r="J13" s="91"/>
      <c r="K13" s="91"/>
      <c r="L13" s="91"/>
      <c r="M13" s="91"/>
      <c r="N13" s="91"/>
      <c r="O13" s="91"/>
      <c r="P13" s="91"/>
      <c r="Q13" s="91"/>
      <c r="R13" s="91"/>
      <c r="S13" s="91"/>
      <c r="T13" s="91"/>
      <c r="U13" s="92" t="str">
        <f>Translation!$A$21</f>
        <v>[MWh]</v>
      </c>
    </row>
    <row r="14" spans="2:21" s="55" customFormat="1" ht="32.25" customHeight="1">
      <c r="B14" s="292" t="str">
        <f>Translation!A56</f>
        <v>DEMAND SECTOR</v>
      </c>
      <c r="C14" s="294" t="str">
        <f>Translation!A93</f>
        <v>ENERGY FOR FINAL USE</v>
      </c>
      <c r="D14" s="295"/>
      <c r="E14" s="295"/>
      <c r="F14" s="295"/>
      <c r="G14" s="295"/>
      <c r="H14" s="295"/>
      <c r="I14" s="295"/>
      <c r="J14" s="295"/>
      <c r="K14" s="295"/>
      <c r="L14" s="295"/>
      <c r="M14" s="295"/>
      <c r="N14" s="295"/>
      <c r="O14" s="295"/>
      <c r="P14" s="295"/>
      <c r="Q14" s="295"/>
      <c r="R14" s="295"/>
      <c r="S14" s="295"/>
      <c r="T14" s="295"/>
      <c r="U14" s="296"/>
    </row>
    <row r="15" spans="2:21" s="55" customFormat="1" ht="18" customHeight="1">
      <c r="B15" s="293"/>
      <c r="C15" s="294" t="str">
        <f>Translation!A94</f>
        <v>Centralized energy services</v>
      </c>
      <c r="D15" s="295"/>
      <c r="E15" s="295"/>
      <c r="F15" s="296"/>
      <c r="G15" s="294" t="str">
        <f>Translation!A98</f>
        <v>Fossil fuels</v>
      </c>
      <c r="H15" s="295"/>
      <c r="I15" s="295"/>
      <c r="J15" s="295"/>
      <c r="K15" s="295"/>
      <c r="L15" s="295"/>
      <c r="M15" s="296"/>
      <c r="N15" s="294" t="str">
        <f>Translation!A105</f>
        <v>Renewable energy sources (excluding electricity and heat sold to public networks)</v>
      </c>
      <c r="O15" s="295"/>
      <c r="P15" s="295"/>
      <c r="Q15" s="295"/>
      <c r="R15" s="295"/>
      <c r="S15" s="295"/>
      <c r="T15" s="296"/>
      <c r="U15" s="292" t="str">
        <f>Translation!A118</f>
        <v>TOTAL</v>
      </c>
    </row>
    <row r="16" spans="2:21" s="66" customFormat="1" ht="67.5" customHeight="1">
      <c r="B16" s="65" t="str">
        <f>Translation!A58</f>
        <v>Sector description</v>
      </c>
      <c r="C16" s="116" t="str">
        <f>Translation!A95</f>
        <v>Electricity from public grid</v>
      </c>
      <c r="D16" s="116" t="str">
        <f>Translation!A96</f>
        <v>Heat from district heating</v>
      </c>
      <c r="E16" s="116" t="str">
        <f>Translation!A97</f>
        <v>Cold from district cooling</v>
      </c>
      <c r="F16" s="116" t="str">
        <f>Translation!A116</f>
        <v>Subtotal</v>
      </c>
      <c r="G16" s="116" t="str">
        <f>Translation!A99</f>
        <v>Fueloil</v>
      </c>
      <c r="H16" s="116" t="str">
        <f>Translation!A100</f>
        <v>Diesel</v>
      </c>
      <c r="I16" s="116" t="str">
        <f>Translation!A101</f>
        <v>Gasoline</v>
      </c>
      <c r="J16" s="116" t="str">
        <f>Translation!A102</f>
        <v>LPG</v>
      </c>
      <c r="K16" s="116" t="str">
        <f>Translation!A103</f>
        <v>Natural gas</v>
      </c>
      <c r="L16" s="116" t="str">
        <f>Translation!A104</f>
        <v>Coal</v>
      </c>
      <c r="M16" s="116" t="str">
        <f>Translation!A116</f>
        <v>Subtotal</v>
      </c>
      <c r="N16" s="116" t="str">
        <f>Translation!A108</f>
        <v>Hydro</v>
      </c>
      <c r="O16" s="116" t="str">
        <f>Translation!A109</f>
        <v>Wind</v>
      </c>
      <c r="P16" s="116" t="str">
        <f>Translation!A110</f>
        <v>Solar</v>
      </c>
      <c r="Q16" s="116" t="str">
        <f>Translation!A111</f>
        <v>Geothermal</v>
      </c>
      <c r="R16" s="116" t="str">
        <f>Translation!A112</f>
        <v>Ocean</v>
      </c>
      <c r="S16" s="116" t="str">
        <f>Translation!A113</f>
        <v>Biomass</v>
      </c>
      <c r="T16" s="116" t="str">
        <f>Translation!A116</f>
        <v>Subtotal</v>
      </c>
      <c r="U16" s="293"/>
    </row>
    <row r="17" spans="1:21" s="21" customFormat="1" ht="15.75">
      <c r="A17" s="22"/>
      <c r="B17" s="70" t="str">
        <f>Translation!A59</f>
        <v>RESIDENTIAL</v>
      </c>
      <c r="C17" s="122">
        <f>SUM(C18:C26)</f>
        <v>4977.906821690158</v>
      </c>
      <c r="D17" s="122">
        <f>SUM(D18:D26)</f>
        <v>8912.974869573874</v>
      </c>
      <c r="E17" s="122">
        <f>SUM(E18:E26)</f>
        <v>0</v>
      </c>
      <c r="F17" s="68">
        <f aca="true" t="shared" si="0" ref="F17:F52">SUM(C17:E17)</f>
        <v>13890.881691264032</v>
      </c>
      <c r="G17" s="122">
        <f aca="true" t="shared" si="1" ref="G17:L17">SUM(G18:G26)</f>
        <v>384.60403748574714</v>
      </c>
      <c r="H17" s="122">
        <f t="shared" si="1"/>
        <v>0</v>
      </c>
      <c r="I17" s="122">
        <f t="shared" si="1"/>
        <v>0</v>
      </c>
      <c r="J17" s="122">
        <f t="shared" si="1"/>
        <v>12</v>
      </c>
      <c r="K17" s="122">
        <f t="shared" si="1"/>
        <v>0</v>
      </c>
      <c r="L17" s="122">
        <f t="shared" si="1"/>
        <v>0</v>
      </c>
      <c r="M17" s="68">
        <f aca="true" t="shared" si="2" ref="M17:M52">SUM(G17:L17)</f>
        <v>396.60403748574714</v>
      </c>
      <c r="N17" s="122">
        <f aca="true" t="shared" si="3" ref="N17:S17">SUM(N18:N26)</f>
        <v>0</v>
      </c>
      <c r="O17" s="122">
        <f t="shared" si="3"/>
        <v>51.60000000000001</v>
      </c>
      <c r="P17" s="122">
        <f t="shared" si="3"/>
        <v>0</v>
      </c>
      <c r="Q17" s="122">
        <f t="shared" si="3"/>
        <v>2160</v>
      </c>
      <c r="R17" s="122">
        <f t="shared" si="3"/>
        <v>0</v>
      </c>
      <c r="S17" s="122">
        <f t="shared" si="3"/>
        <v>54660</v>
      </c>
      <c r="T17" s="68">
        <f aca="true" t="shared" si="4" ref="T17:T52">SUM(N17:S17)</f>
        <v>56871.6</v>
      </c>
      <c r="U17" s="68">
        <f aca="true" t="shared" si="5" ref="U17:U52">F17+M17+T17</f>
        <v>71159.08572874978</v>
      </c>
    </row>
    <row r="18" spans="1:21" s="21" customFormat="1" ht="15.75">
      <c r="A18" s="22"/>
      <c r="B18" s="196" t="str">
        <f>Translation!A60</f>
        <v>Domestic uses</v>
      </c>
      <c r="C18" s="230">
        <v>4977.906821690158</v>
      </c>
      <c r="D18" s="230">
        <v>8912.974869573874</v>
      </c>
      <c r="E18" s="230">
        <v>0</v>
      </c>
      <c r="F18" s="68">
        <v>13890.881691264032</v>
      </c>
      <c r="G18" s="156">
        <v>384.60403748574714</v>
      </c>
      <c r="H18" s="156">
        <v>0</v>
      </c>
      <c r="I18" s="156">
        <v>0</v>
      </c>
      <c r="J18" s="156">
        <v>12</v>
      </c>
      <c r="K18" s="156">
        <v>0</v>
      </c>
      <c r="L18" s="156">
        <v>0</v>
      </c>
      <c r="M18" s="68">
        <v>396.60403748574714</v>
      </c>
      <c r="N18" s="156">
        <v>0</v>
      </c>
      <c r="O18" s="156">
        <v>51.60000000000001</v>
      </c>
      <c r="P18" s="156">
        <v>0</v>
      </c>
      <c r="Q18" s="156">
        <v>2160</v>
      </c>
      <c r="R18" s="156">
        <v>0</v>
      </c>
      <c r="S18" s="156">
        <v>54660</v>
      </c>
      <c r="T18" s="68">
        <f t="shared" si="4"/>
        <v>56871.6</v>
      </c>
      <c r="U18" s="68">
        <f t="shared" si="5"/>
        <v>71159.08572874978</v>
      </c>
    </row>
    <row r="19" spans="1:21" s="21" customFormat="1" ht="15.75" hidden="1">
      <c r="A19" s="22"/>
      <c r="B19" s="196">
        <f>Translation!A61</f>
      </c>
      <c r="C19" s="156"/>
      <c r="D19" s="156"/>
      <c r="E19" s="156"/>
      <c r="F19" s="68">
        <f t="shared" si="0"/>
        <v>0</v>
      </c>
      <c r="G19" s="156"/>
      <c r="H19" s="156"/>
      <c r="I19" s="156"/>
      <c r="J19" s="156"/>
      <c r="K19" s="156"/>
      <c r="L19" s="156"/>
      <c r="M19" s="68">
        <f t="shared" si="2"/>
        <v>0</v>
      </c>
      <c r="N19" s="156"/>
      <c r="O19" s="156"/>
      <c r="P19" s="156"/>
      <c r="Q19" s="156"/>
      <c r="R19" s="156"/>
      <c r="S19" s="156"/>
      <c r="T19" s="68">
        <f t="shared" si="4"/>
        <v>0</v>
      </c>
      <c r="U19" s="68">
        <f t="shared" si="5"/>
        <v>0</v>
      </c>
    </row>
    <row r="20" spans="1:21" s="21" customFormat="1" ht="15.75" hidden="1">
      <c r="A20" s="22"/>
      <c r="B20" s="196">
        <f>Translation!A62</f>
      </c>
      <c r="C20" s="156"/>
      <c r="D20" s="156"/>
      <c r="E20" s="156"/>
      <c r="F20" s="68">
        <f t="shared" si="0"/>
        <v>0</v>
      </c>
      <c r="G20" s="156"/>
      <c r="H20" s="156"/>
      <c r="I20" s="156"/>
      <c r="J20" s="156"/>
      <c r="K20" s="156"/>
      <c r="L20" s="156"/>
      <c r="M20" s="68">
        <f t="shared" si="2"/>
        <v>0</v>
      </c>
      <c r="N20" s="156"/>
      <c r="O20" s="156"/>
      <c r="P20" s="156"/>
      <c r="Q20" s="156"/>
      <c r="R20" s="156"/>
      <c r="S20" s="156"/>
      <c r="T20" s="68">
        <f t="shared" si="4"/>
        <v>0</v>
      </c>
      <c r="U20" s="68">
        <f t="shared" si="5"/>
        <v>0</v>
      </c>
    </row>
    <row r="21" spans="1:21" s="21" customFormat="1" ht="15.75" hidden="1">
      <c r="A21" s="22"/>
      <c r="B21" s="196">
        <f>Translation!A63</f>
      </c>
      <c r="C21" s="156"/>
      <c r="D21" s="156"/>
      <c r="E21" s="156"/>
      <c r="F21" s="68">
        <f t="shared" si="0"/>
        <v>0</v>
      </c>
      <c r="G21" s="156"/>
      <c r="H21" s="156"/>
      <c r="I21" s="156"/>
      <c r="J21" s="156"/>
      <c r="K21" s="156"/>
      <c r="L21" s="156"/>
      <c r="M21" s="68">
        <f t="shared" si="2"/>
        <v>0</v>
      </c>
      <c r="N21" s="156"/>
      <c r="O21" s="156"/>
      <c r="P21" s="156"/>
      <c r="Q21" s="156"/>
      <c r="R21" s="156"/>
      <c r="S21" s="156"/>
      <c r="T21" s="68">
        <f t="shared" si="4"/>
        <v>0</v>
      </c>
      <c r="U21" s="68">
        <f t="shared" si="5"/>
        <v>0</v>
      </c>
    </row>
    <row r="22" spans="1:21" s="21" customFormat="1" ht="15.75" hidden="1">
      <c r="A22" s="22"/>
      <c r="B22" s="196">
        <f>Translation!A64</f>
      </c>
      <c r="C22" s="156"/>
      <c r="D22" s="156"/>
      <c r="E22" s="156"/>
      <c r="F22" s="68">
        <f t="shared" si="0"/>
        <v>0</v>
      </c>
      <c r="G22" s="156"/>
      <c r="H22" s="156"/>
      <c r="I22" s="156"/>
      <c r="J22" s="156"/>
      <c r="K22" s="156"/>
      <c r="L22" s="156"/>
      <c r="M22" s="68">
        <f t="shared" si="2"/>
        <v>0</v>
      </c>
      <c r="N22" s="156"/>
      <c r="O22" s="156"/>
      <c r="P22" s="156"/>
      <c r="Q22" s="156"/>
      <c r="R22" s="156"/>
      <c r="S22" s="156"/>
      <c r="T22" s="68">
        <f t="shared" si="4"/>
        <v>0</v>
      </c>
      <c r="U22" s="68">
        <f t="shared" si="5"/>
        <v>0</v>
      </c>
    </row>
    <row r="23" spans="1:21" s="21" customFormat="1" ht="15.75" hidden="1">
      <c r="A23" s="22"/>
      <c r="B23" s="196">
        <f>Translation!A65</f>
      </c>
      <c r="C23" s="156"/>
      <c r="D23" s="156"/>
      <c r="E23" s="156"/>
      <c r="F23" s="68">
        <f t="shared" si="0"/>
        <v>0</v>
      </c>
      <c r="G23" s="156"/>
      <c r="H23" s="156"/>
      <c r="I23" s="156"/>
      <c r="J23" s="156"/>
      <c r="K23" s="156"/>
      <c r="L23" s="156"/>
      <c r="M23" s="68">
        <f t="shared" si="2"/>
        <v>0</v>
      </c>
      <c r="N23" s="156"/>
      <c r="O23" s="156"/>
      <c r="P23" s="156"/>
      <c r="Q23" s="156"/>
      <c r="R23" s="156"/>
      <c r="S23" s="156"/>
      <c r="T23" s="68">
        <f t="shared" si="4"/>
        <v>0</v>
      </c>
      <c r="U23" s="68">
        <f t="shared" si="5"/>
        <v>0</v>
      </c>
    </row>
    <row r="24" spans="1:21" s="21" customFormat="1" ht="15.75" hidden="1">
      <c r="A24" s="22"/>
      <c r="B24" s="196">
        <f>Translation!A66</f>
      </c>
      <c r="C24" s="156"/>
      <c r="D24" s="156"/>
      <c r="E24" s="156"/>
      <c r="F24" s="68">
        <f t="shared" si="0"/>
        <v>0</v>
      </c>
      <c r="G24" s="156"/>
      <c r="H24" s="156"/>
      <c r="I24" s="156"/>
      <c r="J24" s="156"/>
      <c r="K24" s="156"/>
      <c r="L24" s="156"/>
      <c r="M24" s="68">
        <f t="shared" si="2"/>
        <v>0</v>
      </c>
      <c r="N24" s="156"/>
      <c r="O24" s="156"/>
      <c r="P24" s="156"/>
      <c r="Q24" s="156"/>
      <c r="R24" s="156"/>
      <c r="S24" s="156"/>
      <c r="T24" s="68">
        <f t="shared" si="4"/>
        <v>0</v>
      </c>
      <c r="U24" s="68">
        <f t="shared" si="5"/>
        <v>0</v>
      </c>
    </row>
    <row r="25" spans="1:21" s="21" customFormat="1" ht="15.75" hidden="1">
      <c r="A25" s="22"/>
      <c r="B25" s="196">
        <f>Translation!A67</f>
      </c>
      <c r="C25" s="156"/>
      <c r="D25" s="156"/>
      <c r="E25" s="156"/>
      <c r="F25" s="68">
        <f t="shared" si="0"/>
        <v>0</v>
      </c>
      <c r="G25" s="156"/>
      <c r="H25" s="156"/>
      <c r="I25" s="156"/>
      <c r="J25" s="156"/>
      <c r="K25" s="156"/>
      <c r="L25" s="156"/>
      <c r="M25" s="68">
        <f t="shared" si="2"/>
        <v>0</v>
      </c>
      <c r="N25" s="156"/>
      <c r="O25" s="156"/>
      <c r="P25" s="156"/>
      <c r="Q25" s="156"/>
      <c r="R25" s="156"/>
      <c r="S25" s="156"/>
      <c r="T25" s="68">
        <f t="shared" si="4"/>
        <v>0</v>
      </c>
      <c r="U25" s="68">
        <f t="shared" si="5"/>
        <v>0</v>
      </c>
    </row>
    <row r="26" spans="1:21" s="21" customFormat="1" ht="15.75" hidden="1">
      <c r="A26" s="22"/>
      <c r="B26" s="196">
        <f>Translation!A68</f>
      </c>
      <c r="C26" s="156"/>
      <c r="D26" s="156"/>
      <c r="E26" s="156"/>
      <c r="F26" s="68">
        <f t="shared" si="0"/>
        <v>0</v>
      </c>
      <c r="G26" s="156"/>
      <c r="H26" s="156"/>
      <c r="I26" s="156"/>
      <c r="J26" s="156"/>
      <c r="K26" s="156"/>
      <c r="L26" s="156"/>
      <c r="M26" s="68">
        <f t="shared" si="2"/>
        <v>0</v>
      </c>
      <c r="N26" s="156"/>
      <c r="O26" s="156"/>
      <c r="P26" s="156"/>
      <c r="Q26" s="156"/>
      <c r="R26" s="156"/>
      <c r="S26" s="156"/>
      <c r="T26" s="68">
        <f t="shared" si="4"/>
        <v>0</v>
      </c>
      <c r="U26" s="68">
        <f t="shared" si="5"/>
        <v>0</v>
      </c>
    </row>
    <row r="27" spans="1:21" s="21" customFormat="1" ht="15.75">
      <c r="A27" s="22"/>
      <c r="B27" s="70" t="str">
        <f>Translation!A69</f>
        <v>PRIMARY SECTOR</v>
      </c>
      <c r="C27" s="122">
        <f>SUM(C28:C29)</f>
        <v>1092</v>
      </c>
      <c r="D27" s="122">
        <f>SUM(D28:D29)</f>
        <v>0</v>
      </c>
      <c r="E27" s="122">
        <f>SUM(E28:E29)</f>
        <v>0</v>
      </c>
      <c r="F27" s="68">
        <f t="shared" si="0"/>
        <v>1092</v>
      </c>
      <c r="G27" s="122">
        <f aca="true" t="shared" si="6" ref="G27:L27">SUM(G28:G29)</f>
        <v>0</v>
      </c>
      <c r="H27" s="122">
        <f t="shared" si="6"/>
        <v>5158</v>
      </c>
      <c r="I27" s="122">
        <f t="shared" si="6"/>
        <v>0</v>
      </c>
      <c r="J27" s="122">
        <f t="shared" si="6"/>
        <v>0</v>
      </c>
      <c r="K27" s="122">
        <f t="shared" si="6"/>
        <v>0</v>
      </c>
      <c r="L27" s="122">
        <f t="shared" si="6"/>
        <v>0</v>
      </c>
      <c r="M27" s="68">
        <f t="shared" si="2"/>
        <v>5158</v>
      </c>
      <c r="N27" s="122">
        <f aca="true" t="shared" si="7" ref="N27:S27">SUM(N28:N29)</f>
        <v>0</v>
      </c>
      <c r="O27" s="122">
        <f t="shared" si="7"/>
        <v>0</v>
      </c>
      <c r="P27" s="122">
        <f t="shared" si="7"/>
        <v>0</v>
      </c>
      <c r="Q27" s="122">
        <f t="shared" si="7"/>
        <v>0</v>
      </c>
      <c r="R27" s="122">
        <f t="shared" si="7"/>
        <v>0</v>
      </c>
      <c r="S27" s="122">
        <f t="shared" si="7"/>
        <v>0</v>
      </c>
      <c r="T27" s="68">
        <f t="shared" si="4"/>
        <v>0</v>
      </c>
      <c r="U27" s="68">
        <f t="shared" si="5"/>
        <v>6250</v>
      </c>
    </row>
    <row r="28" spans="1:21" s="21" customFormat="1" ht="15.75">
      <c r="A28" s="22"/>
      <c r="B28" s="197" t="str">
        <f>Translation!A70</f>
        <v>Agriculture, forestry and fishing</v>
      </c>
      <c r="C28" s="156">
        <v>1092</v>
      </c>
      <c r="D28" s="156">
        <v>0</v>
      </c>
      <c r="E28" s="156">
        <v>0</v>
      </c>
      <c r="F28" s="68">
        <v>1092</v>
      </c>
      <c r="G28" s="156">
        <v>0</v>
      </c>
      <c r="H28" s="156">
        <v>5158</v>
      </c>
      <c r="I28" s="156">
        <v>0</v>
      </c>
      <c r="J28" s="156">
        <v>0</v>
      </c>
      <c r="K28" s="156">
        <v>0</v>
      </c>
      <c r="L28" s="156">
        <v>0</v>
      </c>
      <c r="M28" s="68">
        <v>5158</v>
      </c>
      <c r="N28" s="156">
        <v>0</v>
      </c>
      <c r="O28" s="156">
        <v>0</v>
      </c>
      <c r="P28" s="156">
        <v>0</v>
      </c>
      <c r="Q28" s="156">
        <v>0</v>
      </c>
      <c r="R28" s="156">
        <v>0</v>
      </c>
      <c r="S28" s="156">
        <v>0</v>
      </c>
      <c r="T28" s="68">
        <f t="shared" si="4"/>
        <v>0</v>
      </c>
      <c r="U28" s="68">
        <f t="shared" si="5"/>
        <v>6250</v>
      </c>
    </row>
    <row r="29" spans="1:21" s="21" customFormat="1" ht="15.75" hidden="1">
      <c r="A29" s="22"/>
      <c r="B29" s="197" t="str">
        <f>Translation!A71</f>
        <v>Mining and quarrying</v>
      </c>
      <c r="C29" s="156">
        <v>0</v>
      </c>
      <c r="D29" s="156">
        <v>0</v>
      </c>
      <c r="E29" s="156">
        <v>0</v>
      </c>
      <c r="F29" s="68">
        <v>0</v>
      </c>
      <c r="G29" s="156">
        <v>0</v>
      </c>
      <c r="H29" s="156">
        <v>0</v>
      </c>
      <c r="I29" s="156">
        <v>0</v>
      </c>
      <c r="J29" s="156">
        <v>0</v>
      </c>
      <c r="K29" s="156">
        <v>0</v>
      </c>
      <c r="L29" s="156">
        <v>0</v>
      </c>
      <c r="M29" s="68">
        <v>0</v>
      </c>
      <c r="N29" s="156">
        <v>0</v>
      </c>
      <c r="O29" s="156">
        <v>0</v>
      </c>
      <c r="P29" s="156">
        <v>0</v>
      </c>
      <c r="Q29" s="156">
        <v>0</v>
      </c>
      <c r="R29" s="156">
        <v>0</v>
      </c>
      <c r="S29" s="156">
        <v>0</v>
      </c>
      <c r="T29" s="68">
        <f t="shared" si="4"/>
        <v>0</v>
      </c>
      <c r="U29" s="68">
        <f t="shared" si="5"/>
        <v>0</v>
      </c>
    </row>
    <row r="30" spans="1:21" s="21" customFormat="1" ht="15.75">
      <c r="A30" s="22"/>
      <c r="B30" s="65" t="str">
        <f>Translation!A72</f>
        <v>SECONDARY SECTOR</v>
      </c>
      <c r="C30" s="122">
        <f>SUM(C31:C33)</f>
        <v>11616.017876935448</v>
      </c>
      <c r="D30" s="122">
        <f>SUM(D31:D33)</f>
        <v>2075.5467615987804</v>
      </c>
      <c r="E30" s="122">
        <f>SUM(E31:E33)</f>
        <v>0</v>
      </c>
      <c r="F30" s="68">
        <f t="shared" si="0"/>
        <v>13691.564638534228</v>
      </c>
      <c r="G30" s="122">
        <f aca="true" t="shared" si="8" ref="G30:L30">SUM(G31:G33)</f>
        <v>0</v>
      </c>
      <c r="H30" s="122">
        <f t="shared" si="8"/>
        <v>0</v>
      </c>
      <c r="I30" s="122">
        <f t="shared" si="8"/>
        <v>0</v>
      </c>
      <c r="J30" s="122">
        <f t="shared" si="8"/>
        <v>0</v>
      </c>
      <c r="K30" s="122">
        <f t="shared" si="8"/>
        <v>0</v>
      </c>
      <c r="L30" s="122">
        <f t="shared" si="8"/>
        <v>0</v>
      </c>
      <c r="M30" s="68">
        <f t="shared" si="2"/>
        <v>0</v>
      </c>
      <c r="N30" s="122">
        <f aca="true" t="shared" si="9" ref="N30:S30">SUM(N31:N33)</f>
        <v>0</v>
      </c>
      <c r="O30" s="122">
        <f t="shared" si="9"/>
        <v>0</v>
      </c>
      <c r="P30" s="122">
        <f t="shared" si="9"/>
        <v>0</v>
      </c>
      <c r="Q30" s="122">
        <f t="shared" si="9"/>
        <v>540</v>
      </c>
      <c r="R30" s="122">
        <f t="shared" si="9"/>
        <v>0</v>
      </c>
      <c r="S30" s="122">
        <f t="shared" si="9"/>
        <v>1200</v>
      </c>
      <c r="T30" s="68">
        <f t="shared" si="4"/>
        <v>1740</v>
      </c>
      <c r="U30" s="68">
        <f t="shared" si="5"/>
        <v>15431.564638534228</v>
      </c>
    </row>
    <row r="31" spans="1:21" s="21" customFormat="1" ht="15.75">
      <c r="A31" s="22"/>
      <c r="B31" s="197" t="str">
        <f>Translation!A73</f>
        <v>Manufacturing</v>
      </c>
      <c r="C31" s="156">
        <v>11102.017876935448</v>
      </c>
      <c r="D31" s="156">
        <v>2075.5467615987804</v>
      </c>
      <c r="E31" s="156">
        <v>0</v>
      </c>
      <c r="F31" s="68">
        <v>13177.564638534228</v>
      </c>
      <c r="G31" s="156">
        <v>0</v>
      </c>
      <c r="H31" s="156">
        <v>0</v>
      </c>
      <c r="I31" s="156">
        <v>0</v>
      </c>
      <c r="J31" s="156">
        <v>0</v>
      </c>
      <c r="K31" s="156">
        <v>0</v>
      </c>
      <c r="L31" s="156">
        <v>0</v>
      </c>
      <c r="M31" s="68">
        <v>0</v>
      </c>
      <c r="N31" s="156">
        <v>0</v>
      </c>
      <c r="O31" s="156">
        <v>0</v>
      </c>
      <c r="P31" s="156">
        <v>0</v>
      </c>
      <c r="Q31" s="156">
        <v>540</v>
      </c>
      <c r="R31" s="156">
        <v>0</v>
      </c>
      <c r="S31" s="156">
        <v>1200</v>
      </c>
      <c r="T31" s="68">
        <f t="shared" si="4"/>
        <v>1740</v>
      </c>
      <c r="U31" s="68">
        <f t="shared" si="5"/>
        <v>14917.564638534228</v>
      </c>
    </row>
    <row r="32" spans="1:21" s="21" customFormat="1" ht="30">
      <c r="A32" s="22"/>
      <c r="B32" s="197" t="str">
        <f>Translation!A74</f>
        <v>Water supply, sewerage, waste management and remediation activities</v>
      </c>
      <c r="C32" s="156">
        <v>0</v>
      </c>
      <c r="D32" s="156">
        <v>0</v>
      </c>
      <c r="E32" s="156">
        <v>0</v>
      </c>
      <c r="F32" s="68">
        <v>0</v>
      </c>
      <c r="G32" s="156">
        <v>0</v>
      </c>
      <c r="H32" s="156">
        <v>0</v>
      </c>
      <c r="I32" s="156">
        <v>0</v>
      </c>
      <c r="J32" s="156">
        <v>0</v>
      </c>
      <c r="K32" s="156">
        <v>0</v>
      </c>
      <c r="L32" s="156">
        <v>0</v>
      </c>
      <c r="M32" s="68">
        <v>0</v>
      </c>
      <c r="N32" s="156">
        <v>0</v>
      </c>
      <c r="O32" s="156">
        <v>0</v>
      </c>
      <c r="P32" s="156">
        <v>0</v>
      </c>
      <c r="Q32" s="156">
        <v>0</v>
      </c>
      <c r="R32" s="156">
        <v>0</v>
      </c>
      <c r="S32" s="156">
        <v>0</v>
      </c>
      <c r="T32" s="68">
        <f t="shared" si="4"/>
        <v>0</v>
      </c>
      <c r="U32" s="68">
        <f t="shared" si="5"/>
        <v>0</v>
      </c>
    </row>
    <row r="33" spans="1:21" s="21" customFormat="1" ht="15.75">
      <c r="A33" s="22"/>
      <c r="B33" s="197" t="str">
        <f>Translation!A75</f>
        <v>Construction</v>
      </c>
      <c r="C33" s="156">
        <v>514</v>
      </c>
      <c r="D33" s="156">
        <v>0</v>
      </c>
      <c r="E33" s="156">
        <v>0</v>
      </c>
      <c r="F33" s="68">
        <v>514</v>
      </c>
      <c r="G33" s="156">
        <v>0</v>
      </c>
      <c r="H33" s="156">
        <v>0</v>
      </c>
      <c r="I33" s="156">
        <v>0</v>
      </c>
      <c r="J33" s="156">
        <v>0</v>
      </c>
      <c r="K33" s="156">
        <v>0</v>
      </c>
      <c r="L33" s="156">
        <v>0</v>
      </c>
      <c r="M33" s="68">
        <v>0</v>
      </c>
      <c r="N33" s="156">
        <v>0</v>
      </c>
      <c r="O33" s="156">
        <v>0</v>
      </c>
      <c r="P33" s="156">
        <v>0</v>
      </c>
      <c r="Q33" s="156">
        <v>0</v>
      </c>
      <c r="R33" s="156">
        <v>0</v>
      </c>
      <c r="S33" s="156">
        <v>0</v>
      </c>
      <c r="T33" s="68">
        <f t="shared" si="4"/>
        <v>0</v>
      </c>
      <c r="U33" s="68">
        <f t="shared" si="5"/>
        <v>514</v>
      </c>
    </row>
    <row r="34" spans="1:21" s="21" customFormat="1" ht="15.75">
      <c r="A34" s="22"/>
      <c r="B34" s="65" t="str">
        <f>Translation!A76</f>
        <v>TERTIARY SECTOR</v>
      </c>
      <c r="C34" s="122">
        <f>SUM(C35:C42)</f>
        <v>10161.194755431829</v>
      </c>
      <c r="D34" s="122">
        <f>SUM(D35:D42)</f>
        <v>5147.477924613864</v>
      </c>
      <c r="E34" s="122">
        <f>SUM(E35:E42)</f>
        <v>0</v>
      </c>
      <c r="F34" s="68">
        <f t="shared" si="0"/>
        <v>15308.672680045693</v>
      </c>
      <c r="G34" s="122">
        <f aca="true" t="shared" si="10" ref="G34:L34">SUM(G35:G42)</f>
        <v>0</v>
      </c>
      <c r="H34" s="122">
        <f t="shared" si="10"/>
        <v>0</v>
      </c>
      <c r="I34" s="122">
        <f t="shared" si="10"/>
        <v>0</v>
      </c>
      <c r="J34" s="122">
        <f t="shared" si="10"/>
        <v>0</v>
      </c>
      <c r="K34" s="122">
        <f t="shared" si="10"/>
        <v>0</v>
      </c>
      <c r="L34" s="122">
        <f t="shared" si="10"/>
        <v>0</v>
      </c>
      <c r="M34" s="68">
        <f t="shared" si="2"/>
        <v>0</v>
      </c>
      <c r="N34" s="122">
        <f aca="true" t="shared" si="11" ref="N34:S34">SUM(N35:N42)</f>
        <v>0</v>
      </c>
      <c r="O34" s="122">
        <f t="shared" si="11"/>
        <v>0</v>
      </c>
      <c r="P34" s="122">
        <f t="shared" si="11"/>
        <v>0</v>
      </c>
      <c r="Q34" s="122">
        <f t="shared" si="11"/>
        <v>3096</v>
      </c>
      <c r="R34" s="122">
        <f t="shared" si="11"/>
        <v>0</v>
      </c>
      <c r="S34" s="122">
        <f t="shared" si="11"/>
        <v>11857.500000000002</v>
      </c>
      <c r="T34" s="68">
        <f t="shared" si="4"/>
        <v>14953.500000000002</v>
      </c>
      <c r="U34" s="68">
        <f t="shared" si="5"/>
        <v>30262.172680045696</v>
      </c>
    </row>
    <row r="35" spans="1:21" s="21" customFormat="1" ht="15.75">
      <c r="A35" s="22"/>
      <c r="B35" s="197" t="str">
        <f>Translation!A77</f>
        <v>Trade, service and tourism</v>
      </c>
      <c r="C35" s="156">
        <v>7279.9199170241445</v>
      </c>
      <c r="D35" s="156">
        <v>2285.5885203694693</v>
      </c>
      <c r="E35" s="156">
        <v>0</v>
      </c>
      <c r="F35" s="68">
        <v>9565.508437393613</v>
      </c>
      <c r="G35" s="156">
        <v>0</v>
      </c>
      <c r="H35" s="156">
        <v>0</v>
      </c>
      <c r="I35" s="156">
        <v>0</v>
      </c>
      <c r="J35" s="156">
        <v>0</v>
      </c>
      <c r="K35" s="156">
        <v>0</v>
      </c>
      <c r="L35" s="156">
        <v>0</v>
      </c>
      <c r="M35" s="68">
        <v>0</v>
      </c>
      <c r="N35" s="156">
        <v>0</v>
      </c>
      <c r="O35" s="156">
        <v>0</v>
      </c>
      <c r="P35" s="156">
        <v>0</v>
      </c>
      <c r="Q35" s="156">
        <v>2880</v>
      </c>
      <c r="R35" s="156">
        <v>0</v>
      </c>
      <c r="S35" s="156">
        <v>1200</v>
      </c>
      <c r="T35" s="68">
        <f t="shared" si="4"/>
        <v>4080</v>
      </c>
      <c r="U35" s="68">
        <f t="shared" si="5"/>
        <v>13645.508437393613</v>
      </c>
    </row>
    <row r="36" spans="1:21" s="21" customFormat="1" ht="15.75">
      <c r="A36" s="22"/>
      <c r="B36" s="197" t="str">
        <f>Translation!A78</f>
        <v>Public administration, schools and kindergardens</v>
      </c>
      <c r="C36" s="156">
        <v>2005.0658031634102</v>
      </c>
      <c r="D36" s="156">
        <v>2861.8894042443944</v>
      </c>
      <c r="E36" s="156">
        <v>0</v>
      </c>
      <c r="F36" s="68">
        <v>4866.955207407805</v>
      </c>
      <c r="G36" s="156">
        <v>0</v>
      </c>
      <c r="H36" s="156">
        <v>0</v>
      </c>
      <c r="I36" s="156">
        <v>0</v>
      </c>
      <c r="J36" s="156">
        <v>0</v>
      </c>
      <c r="K36" s="156">
        <v>0</v>
      </c>
      <c r="L36" s="156">
        <v>0</v>
      </c>
      <c r="M36" s="68">
        <v>0</v>
      </c>
      <c r="N36" s="156">
        <v>0</v>
      </c>
      <c r="O36" s="156">
        <v>0</v>
      </c>
      <c r="P36" s="156">
        <v>0</v>
      </c>
      <c r="Q36" s="156">
        <v>216.00000000000003</v>
      </c>
      <c r="R36" s="156">
        <v>0</v>
      </c>
      <c r="S36" s="156">
        <v>10657.500000000002</v>
      </c>
      <c r="T36" s="68">
        <f t="shared" si="4"/>
        <v>10873.500000000002</v>
      </c>
      <c r="U36" s="68">
        <f t="shared" si="5"/>
        <v>15740.455207407806</v>
      </c>
    </row>
    <row r="37" spans="1:21" s="21" customFormat="1" ht="15.75">
      <c r="A37" s="22"/>
      <c r="B37" s="197" t="str">
        <f>Translation!A79</f>
        <v>Other services</v>
      </c>
      <c r="C37" s="156">
        <v>876.209035244273</v>
      </c>
      <c r="D37" s="156">
        <v>0</v>
      </c>
      <c r="E37" s="156">
        <v>0</v>
      </c>
      <c r="F37" s="68">
        <v>876.209035244273</v>
      </c>
      <c r="G37" s="156">
        <v>0</v>
      </c>
      <c r="H37" s="156">
        <v>0</v>
      </c>
      <c r="I37" s="156">
        <v>0</v>
      </c>
      <c r="J37" s="156">
        <v>0</v>
      </c>
      <c r="K37" s="156">
        <v>0</v>
      </c>
      <c r="L37" s="156">
        <v>0</v>
      </c>
      <c r="M37" s="68">
        <v>0</v>
      </c>
      <c r="N37" s="156">
        <v>0</v>
      </c>
      <c r="O37" s="156">
        <v>0</v>
      </c>
      <c r="P37" s="156">
        <v>0</v>
      </c>
      <c r="Q37" s="156">
        <v>0</v>
      </c>
      <c r="R37" s="156">
        <v>0</v>
      </c>
      <c r="S37" s="156">
        <v>0</v>
      </c>
      <c r="T37" s="68">
        <f t="shared" si="4"/>
        <v>0</v>
      </c>
      <c r="U37" s="68">
        <f t="shared" si="5"/>
        <v>876.209035244273</v>
      </c>
    </row>
    <row r="38" spans="1:21" s="21" customFormat="1" ht="15.75" hidden="1">
      <c r="A38" s="22"/>
      <c r="B38" s="197">
        <f>Translation!A80</f>
      </c>
      <c r="C38" s="156"/>
      <c r="D38" s="156"/>
      <c r="E38" s="156"/>
      <c r="F38" s="68">
        <f t="shared" si="0"/>
        <v>0</v>
      </c>
      <c r="G38" s="156"/>
      <c r="H38" s="156"/>
      <c r="I38" s="156"/>
      <c r="J38" s="156"/>
      <c r="K38" s="156"/>
      <c r="L38" s="156"/>
      <c r="M38" s="68">
        <f t="shared" si="2"/>
        <v>0</v>
      </c>
      <c r="N38" s="156"/>
      <c r="O38" s="156"/>
      <c r="P38" s="156"/>
      <c r="Q38" s="156"/>
      <c r="R38" s="156"/>
      <c r="S38" s="156"/>
      <c r="T38" s="68">
        <f t="shared" si="4"/>
        <v>0</v>
      </c>
      <c r="U38" s="68">
        <f t="shared" si="5"/>
        <v>0</v>
      </c>
    </row>
    <row r="39" spans="1:21" s="21" customFormat="1" ht="15.75" hidden="1">
      <c r="A39" s="22"/>
      <c r="B39" s="197">
        <f>Translation!A81</f>
      </c>
      <c r="C39" s="156"/>
      <c r="D39" s="156"/>
      <c r="E39" s="156"/>
      <c r="F39" s="68">
        <f t="shared" si="0"/>
        <v>0</v>
      </c>
      <c r="G39" s="156"/>
      <c r="H39" s="156"/>
      <c r="I39" s="156"/>
      <c r="J39" s="156"/>
      <c r="K39" s="156"/>
      <c r="L39" s="156"/>
      <c r="M39" s="68">
        <f t="shared" si="2"/>
        <v>0</v>
      </c>
      <c r="N39" s="156"/>
      <c r="O39" s="156"/>
      <c r="P39" s="156"/>
      <c r="Q39" s="156"/>
      <c r="R39" s="156"/>
      <c r="S39" s="156"/>
      <c r="T39" s="68">
        <f t="shared" si="4"/>
        <v>0</v>
      </c>
      <c r="U39" s="68">
        <f t="shared" si="5"/>
        <v>0</v>
      </c>
    </row>
    <row r="40" spans="1:21" s="21" customFormat="1" ht="15.75" hidden="1">
      <c r="A40" s="22"/>
      <c r="B40" s="197">
        <f>Translation!A82</f>
      </c>
      <c r="C40" s="156"/>
      <c r="D40" s="156"/>
      <c r="E40" s="156"/>
      <c r="F40" s="68">
        <f t="shared" si="0"/>
        <v>0</v>
      </c>
      <c r="G40" s="156"/>
      <c r="H40" s="156"/>
      <c r="I40" s="156"/>
      <c r="J40" s="156"/>
      <c r="K40" s="156"/>
      <c r="L40" s="156"/>
      <c r="M40" s="68">
        <f t="shared" si="2"/>
        <v>0</v>
      </c>
      <c r="N40" s="156"/>
      <c r="O40" s="156"/>
      <c r="P40" s="156"/>
      <c r="Q40" s="156"/>
      <c r="R40" s="156"/>
      <c r="S40" s="156"/>
      <c r="T40" s="68">
        <f t="shared" si="4"/>
        <v>0</v>
      </c>
      <c r="U40" s="68">
        <f t="shared" si="5"/>
        <v>0</v>
      </c>
    </row>
    <row r="41" spans="1:21" s="21" customFormat="1" ht="15.75" hidden="1">
      <c r="A41" s="22"/>
      <c r="B41" s="197">
        <f>Translation!A83</f>
      </c>
      <c r="C41" s="156"/>
      <c r="D41" s="156"/>
      <c r="E41" s="156"/>
      <c r="F41" s="68">
        <f t="shared" si="0"/>
        <v>0</v>
      </c>
      <c r="G41" s="156"/>
      <c r="H41" s="156"/>
      <c r="I41" s="156"/>
      <c r="J41" s="156"/>
      <c r="K41" s="156"/>
      <c r="L41" s="156"/>
      <c r="M41" s="68">
        <f t="shared" si="2"/>
        <v>0</v>
      </c>
      <c r="N41" s="156"/>
      <c r="O41" s="156"/>
      <c r="P41" s="156"/>
      <c r="Q41" s="156"/>
      <c r="R41" s="156"/>
      <c r="S41" s="156"/>
      <c r="T41" s="68">
        <f t="shared" si="4"/>
        <v>0</v>
      </c>
      <c r="U41" s="68">
        <f t="shared" si="5"/>
        <v>0</v>
      </c>
    </row>
    <row r="42" spans="1:21" s="21" customFormat="1" ht="15.75" hidden="1">
      <c r="A42" s="22"/>
      <c r="B42" s="197">
        <f>Translation!A84</f>
      </c>
      <c r="C42" s="156"/>
      <c r="D42" s="156"/>
      <c r="E42" s="156"/>
      <c r="F42" s="68">
        <f t="shared" si="0"/>
        <v>0</v>
      </c>
      <c r="G42" s="156"/>
      <c r="H42" s="156"/>
      <c r="I42" s="156"/>
      <c r="J42" s="156"/>
      <c r="K42" s="156"/>
      <c r="L42" s="156"/>
      <c r="M42" s="68">
        <f t="shared" si="2"/>
        <v>0</v>
      </c>
      <c r="N42" s="156"/>
      <c r="O42" s="156"/>
      <c r="P42" s="156"/>
      <c r="Q42" s="156"/>
      <c r="R42" s="156"/>
      <c r="S42" s="156"/>
      <c r="T42" s="68">
        <f t="shared" si="4"/>
        <v>0</v>
      </c>
      <c r="U42" s="68">
        <f t="shared" si="5"/>
        <v>0</v>
      </c>
    </row>
    <row r="43" spans="1:21" s="21" customFormat="1" ht="15.75">
      <c r="A43" s="22"/>
      <c r="B43" s="65" t="str">
        <f>Translation!A85</f>
        <v>TRANSPORTS</v>
      </c>
      <c r="C43" s="122">
        <f>SUM(C44:C47)</f>
        <v>211.03696428571425</v>
      </c>
      <c r="D43" s="122">
        <f>SUM(D44:D47)</f>
        <v>0</v>
      </c>
      <c r="E43" s="122">
        <f>SUM(E44:E47)</f>
        <v>0</v>
      </c>
      <c r="F43" s="68">
        <f t="shared" si="0"/>
        <v>211.03696428571425</v>
      </c>
      <c r="G43" s="122">
        <f aca="true" t="shared" si="12" ref="G43:L43">SUM(G44:G47)</f>
        <v>0</v>
      </c>
      <c r="H43" s="122">
        <f t="shared" si="12"/>
        <v>20548.04065302501</v>
      </c>
      <c r="I43" s="122">
        <f t="shared" si="12"/>
        <v>19497.15</v>
      </c>
      <c r="J43" s="122">
        <f t="shared" si="12"/>
        <v>0</v>
      </c>
      <c r="K43" s="122">
        <f t="shared" si="12"/>
        <v>0</v>
      </c>
      <c r="L43" s="122">
        <f t="shared" si="12"/>
        <v>0</v>
      </c>
      <c r="M43" s="68">
        <f t="shared" si="2"/>
        <v>40045.19065302501</v>
      </c>
      <c r="N43" s="122">
        <f aca="true" t="shared" si="13" ref="N43:S43">SUM(N44:N47)</f>
        <v>0</v>
      </c>
      <c r="O43" s="122">
        <f t="shared" si="13"/>
        <v>0</v>
      </c>
      <c r="P43" s="122">
        <f t="shared" si="13"/>
        <v>0</v>
      </c>
      <c r="Q43" s="122">
        <f t="shared" si="13"/>
        <v>0</v>
      </c>
      <c r="R43" s="122">
        <f t="shared" si="13"/>
        <v>0</v>
      </c>
      <c r="S43" s="122">
        <f t="shared" si="13"/>
        <v>554.5</v>
      </c>
      <c r="T43" s="68">
        <f t="shared" si="4"/>
        <v>554.5</v>
      </c>
      <c r="U43" s="68">
        <f t="shared" si="5"/>
        <v>40810.727617310724</v>
      </c>
    </row>
    <row r="44" spans="1:21" s="21" customFormat="1" ht="30">
      <c r="A44" s="22"/>
      <c r="B44" s="197" t="str">
        <f>Translation!A86</f>
        <v>Passenger road transport (public transports, taxi, tourism, school buses, etc.)</v>
      </c>
      <c r="C44" s="156">
        <v>0</v>
      </c>
      <c r="D44" s="156">
        <v>0</v>
      </c>
      <c r="E44" s="156">
        <v>0</v>
      </c>
      <c r="F44" s="68">
        <v>0</v>
      </c>
      <c r="G44" s="156">
        <v>0</v>
      </c>
      <c r="H44" s="156">
        <v>554.5</v>
      </c>
      <c r="I44" s="156">
        <v>0</v>
      </c>
      <c r="J44" s="156">
        <v>0</v>
      </c>
      <c r="K44" s="156">
        <v>0</v>
      </c>
      <c r="L44" s="156">
        <v>0</v>
      </c>
      <c r="M44" s="68">
        <v>554.5</v>
      </c>
      <c r="N44" s="156">
        <v>0</v>
      </c>
      <c r="O44" s="156">
        <v>0</v>
      </c>
      <c r="P44" s="156">
        <v>0</v>
      </c>
      <c r="Q44" s="156">
        <v>0</v>
      </c>
      <c r="R44" s="156">
        <v>0</v>
      </c>
      <c r="S44" s="156">
        <v>554.5</v>
      </c>
      <c r="T44" s="68">
        <f t="shared" si="4"/>
        <v>554.5</v>
      </c>
      <c r="U44" s="68">
        <f t="shared" si="5"/>
        <v>1109</v>
      </c>
    </row>
    <row r="45" spans="1:21" s="21" customFormat="1" ht="15.75">
      <c r="A45" s="22"/>
      <c r="B45" s="197" t="str">
        <f>Translation!A87</f>
        <v>Freight transport by road and removal services</v>
      </c>
      <c r="C45" s="156">
        <v>0</v>
      </c>
      <c r="D45" s="156">
        <v>0</v>
      </c>
      <c r="E45" s="156">
        <v>0</v>
      </c>
      <c r="F45" s="68">
        <v>0</v>
      </c>
      <c r="G45" s="156">
        <v>0</v>
      </c>
      <c r="H45" s="156">
        <v>12387.265653025011</v>
      </c>
      <c r="I45" s="156">
        <v>0</v>
      </c>
      <c r="J45" s="156">
        <v>0</v>
      </c>
      <c r="K45" s="156">
        <v>0</v>
      </c>
      <c r="L45" s="156">
        <v>0</v>
      </c>
      <c r="M45" s="68">
        <v>12387.265653025011</v>
      </c>
      <c r="N45" s="156">
        <v>0</v>
      </c>
      <c r="O45" s="156">
        <v>0</v>
      </c>
      <c r="P45" s="156">
        <v>0</v>
      </c>
      <c r="Q45" s="156">
        <v>0</v>
      </c>
      <c r="R45" s="156">
        <v>0</v>
      </c>
      <c r="S45" s="156">
        <v>0</v>
      </c>
      <c r="T45" s="68">
        <f t="shared" si="4"/>
        <v>0</v>
      </c>
      <c r="U45" s="68">
        <f t="shared" si="5"/>
        <v>12387.265653025011</v>
      </c>
    </row>
    <row r="46" spans="1:21" s="21" customFormat="1" ht="30">
      <c r="A46" s="22"/>
      <c r="B46" s="197" t="str">
        <f>Translation!A88</f>
        <v>Other fleet for public and private services, and private transports</v>
      </c>
      <c r="C46" s="156">
        <v>211.03696428571425</v>
      </c>
      <c r="D46" s="156">
        <v>0</v>
      </c>
      <c r="E46" s="156">
        <v>0</v>
      </c>
      <c r="F46" s="68">
        <v>433.4775132275131</v>
      </c>
      <c r="G46" s="156">
        <v>0</v>
      </c>
      <c r="H46" s="156">
        <v>7606.275000000001</v>
      </c>
      <c r="I46" s="156">
        <v>19497.15</v>
      </c>
      <c r="J46" s="156">
        <v>0</v>
      </c>
      <c r="K46" s="156">
        <v>0</v>
      </c>
      <c r="L46" s="156">
        <v>0</v>
      </c>
      <c r="M46" s="68">
        <v>27835.949999999997</v>
      </c>
      <c r="N46" s="156">
        <v>0</v>
      </c>
      <c r="O46" s="156">
        <v>0</v>
      </c>
      <c r="P46" s="156">
        <v>0</v>
      </c>
      <c r="Q46" s="156">
        <v>0</v>
      </c>
      <c r="R46" s="156">
        <v>0</v>
      </c>
      <c r="S46" s="156">
        <v>0</v>
      </c>
      <c r="T46" s="68">
        <f t="shared" si="4"/>
        <v>0</v>
      </c>
      <c r="U46" s="68">
        <f t="shared" si="5"/>
        <v>28269.42751322751</v>
      </c>
    </row>
    <row r="47" spans="1:21" s="21" customFormat="1" ht="15.75" hidden="1">
      <c r="A47" s="22"/>
      <c r="B47" s="196">
        <f>Translation!A89</f>
      </c>
      <c r="C47" s="156"/>
      <c r="D47" s="156"/>
      <c r="E47" s="156"/>
      <c r="F47" s="68">
        <f t="shared" si="0"/>
        <v>0</v>
      </c>
      <c r="G47" s="156"/>
      <c r="H47" s="156"/>
      <c r="I47" s="156"/>
      <c r="J47" s="156"/>
      <c r="K47" s="156"/>
      <c r="L47" s="156"/>
      <c r="M47" s="68">
        <f t="shared" si="2"/>
        <v>0</v>
      </c>
      <c r="N47" s="156"/>
      <c r="O47" s="156"/>
      <c r="P47" s="156"/>
      <c r="Q47" s="156"/>
      <c r="R47" s="156"/>
      <c r="S47" s="156"/>
      <c r="T47" s="68">
        <f t="shared" si="4"/>
        <v>0</v>
      </c>
      <c r="U47" s="68">
        <f t="shared" si="5"/>
        <v>0</v>
      </c>
    </row>
    <row r="48" spans="1:21" s="21" customFormat="1" ht="15.75">
      <c r="A48" s="22"/>
      <c r="B48" s="77" t="str">
        <f>Translation!A117</f>
        <v>TOTAL FOR INTERNAL MARKET</v>
      </c>
      <c r="C48" s="69">
        <f>C17+C27+C30+C34+C43</f>
        <v>28058.156418343147</v>
      </c>
      <c r="D48" s="69">
        <f>D17+D27+D30+D34+D43</f>
        <v>16135.999555786519</v>
      </c>
      <c r="E48" s="69">
        <f>E17+E27+E30+E34+E43</f>
        <v>0</v>
      </c>
      <c r="F48" s="68">
        <f t="shared" si="0"/>
        <v>44194.155974129666</v>
      </c>
      <c r="G48" s="69">
        <f aca="true" t="shared" si="14" ref="G48:L48">G17+G27+G30+G34+G43</f>
        <v>384.60403748574714</v>
      </c>
      <c r="H48" s="69">
        <f t="shared" si="14"/>
        <v>25706.04065302501</v>
      </c>
      <c r="I48" s="69">
        <f t="shared" si="14"/>
        <v>19497.15</v>
      </c>
      <c r="J48" s="69">
        <f t="shared" si="14"/>
        <v>12</v>
      </c>
      <c r="K48" s="69">
        <f t="shared" si="14"/>
        <v>0</v>
      </c>
      <c r="L48" s="69">
        <f t="shared" si="14"/>
        <v>0</v>
      </c>
      <c r="M48" s="68">
        <f t="shared" si="2"/>
        <v>45599.79469051076</v>
      </c>
      <c r="N48" s="69">
        <f aca="true" t="shared" si="15" ref="N48:S48">N17+N27+N30+N34+N43</f>
        <v>0</v>
      </c>
      <c r="O48" s="69">
        <f t="shared" si="15"/>
        <v>51.60000000000001</v>
      </c>
      <c r="P48" s="69">
        <f t="shared" si="15"/>
        <v>0</v>
      </c>
      <c r="Q48" s="69">
        <f t="shared" si="15"/>
        <v>5796</v>
      </c>
      <c r="R48" s="69">
        <f t="shared" si="15"/>
        <v>0</v>
      </c>
      <c r="S48" s="69">
        <f t="shared" si="15"/>
        <v>68272</v>
      </c>
      <c r="T48" s="68">
        <f t="shared" si="4"/>
        <v>74119.6</v>
      </c>
      <c r="U48" s="68">
        <f t="shared" si="5"/>
        <v>163913.55066464044</v>
      </c>
    </row>
    <row r="49" spans="2:21" s="66" customFormat="1" ht="30" hidden="1">
      <c r="B49" s="196" t="str">
        <f>Translation!A90</f>
        <v>Reexportation (ships, airplanes, industrial free zones, national and international militar installations, etc.)</v>
      </c>
      <c r="C49" s="156"/>
      <c r="D49" s="156"/>
      <c r="E49" s="156"/>
      <c r="F49" s="68">
        <f t="shared" si="0"/>
        <v>0</v>
      </c>
      <c r="G49" s="156"/>
      <c r="H49" s="156"/>
      <c r="I49" s="156"/>
      <c r="J49" s="156"/>
      <c r="K49" s="156"/>
      <c r="L49" s="156"/>
      <c r="M49" s="68">
        <f t="shared" si="2"/>
        <v>0</v>
      </c>
      <c r="N49" s="156"/>
      <c r="O49" s="156"/>
      <c r="P49" s="156"/>
      <c r="Q49" s="156"/>
      <c r="R49" s="156"/>
      <c r="S49" s="156"/>
      <c r="T49" s="68">
        <f t="shared" si="4"/>
        <v>0</v>
      </c>
      <c r="U49" s="68">
        <f t="shared" si="5"/>
        <v>0</v>
      </c>
    </row>
    <row r="50" spans="2:21" s="66" customFormat="1" ht="30" hidden="1">
      <c r="B50" s="196" t="str">
        <f>Translation!A91</f>
        <v>Activities with intensive use of energy for exportation (to exclude in the island energy balance)</v>
      </c>
      <c r="C50" s="156"/>
      <c r="D50" s="156"/>
      <c r="E50" s="156"/>
      <c r="F50" s="68">
        <f t="shared" si="0"/>
        <v>0</v>
      </c>
      <c r="G50" s="156"/>
      <c r="H50" s="156"/>
      <c r="I50" s="156"/>
      <c r="J50" s="156"/>
      <c r="K50" s="156"/>
      <c r="L50" s="156"/>
      <c r="M50" s="68">
        <f t="shared" si="2"/>
        <v>0</v>
      </c>
      <c r="N50" s="156"/>
      <c r="O50" s="156"/>
      <c r="P50" s="156"/>
      <c r="Q50" s="156"/>
      <c r="R50" s="156"/>
      <c r="S50" s="156"/>
      <c r="T50" s="68">
        <f t="shared" si="4"/>
        <v>0</v>
      </c>
      <c r="U50" s="68">
        <f t="shared" si="5"/>
        <v>0</v>
      </c>
    </row>
    <row r="51" spans="2:21" s="66" customFormat="1" ht="15.75" hidden="1">
      <c r="B51" s="196" t="str">
        <f>Translation!A92</f>
        <v>Other (to exclude in the island energy balance)</v>
      </c>
      <c r="C51" s="156"/>
      <c r="D51" s="156"/>
      <c r="E51" s="156"/>
      <c r="F51" s="68">
        <f t="shared" si="0"/>
        <v>0</v>
      </c>
      <c r="G51" s="156"/>
      <c r="H51" s="156"/>
      <c r="I51" s="156"/>
      <c r="J51" s="156"/>
      <c r="K51" s="156"/>
      <c r="L51" s="156"/>
      <c r="M51" s="68">
        <f t="shared" si="2"/>
        <v>0</v>
      </c>
      <c r="N51" s="156"/>
      <c r="O51" s="156"/>
      <c r="P51" s="156"/>
      <c r="Q51" s="156"/>
      <c r="R51" s="156"/>
      <c r="S51" s="156"/>
      <c r="T51" s="68">
        <f t="shared" si="4"/>
        <v>0</v>
      </c>
      <c r="U51" s="68">
        <f t="shared" si="5"/>
        <v>0</v>
      </c>
    </row>
    <row r="52" spans="2:21" s="55" customFormat="1" ht="15.75" hidden="1">
      <c r="B52" s="77" t="str">
        <f>Translation!A118</f>
        <v>TOTAL</v>
      </c>
      <c r="C52" s="57">
        <f>SUM(C49:C51)</f>
        <v>0</v>
      </c>
      <c r="D52" s="57">
        <f>SUM(D49:D51)</f>
        <v>0</v>
      </c>
      <c r="E52" s="57">
        <f>SUM(E49:E51)</f>
        <v>0</v>
      </c>
      <c r="F52" s="68">
        <f t="shared" si="0"/>
        <v>0</v>
      </c>
      <c r="G52" s="57">
        <f aca="true" t="shared" si="16" ref="G52:L52">SUM(G49:G51)</f>
        <v>0</v>
      </c>
      <c r="H52" s="57">
        <f t="shared" si="16"/>
        <v>0</v>
      </c>
      <c r="I52" s="57">
        <f t="shared" si="16"/>
        <v>0</v>
      </c>
      <c r="J52" s="57">
        <f t="shared" si="16"/>
        <v>0</v>
      </c>
      <c r="K52" s="57">
        <f t="shared" si="16"/>
        <v>0</v>
      </c>
      <c r="L52" s="57">
        <f t="shared" si="16"/>
        <v>0</v>
      </c>
      <c r="M52" s="68">
        <f t="shared" si="2"/>
        <v>0</v>
      </c>
      <c r="N52" s="57">
        <f aca="true" t="shared" si="17" ref="N52:S52">SUM(N49:N51)</f>
        <v>0</v>
      </c>
      <c r="O52" s="57">
        <f t="shared" si="17"/>
        <v>0</v>
      </c>
      <c r="P52" s="57">
        <f t="shared" si="17"/>
        <v>0</v>
      </c>
      <c r="Q52" s="57">
        <f t="shared" si="17"/>
        <v>0</v>
      </c>
      <c r="R52" s="57">
        <f t="shared" si="17"/>
        <v>0</v>
      </c>
      <c r="S52" s="57">
        <f t="shared" si="17"/>
        <v>0</v>
      </c>
      <c r="T52" s="68">
        <f t="shared" si="4"/>
        <v>0</v>
      </c>
      <c r="U52" s="68">
        <f t="shared" si="5"/>
        <v>0</v>
      </c>
    </row>
    <row r="53" spans="2:18" s="151" customFormat="1" ht="15.75">
      <c r="B53" s="127"/>
      <c r="C53" s="150"/>
      <c r="D53" s="150"/>
      <c r="E53" s="150"/>
      <c r="F53" s="150"/>
      <c r="G53" s="150"/>
      <c r="H53" s="150"/>
      <c r="I53" s="150"/>
      <c r="J53" s="150"/>
      <c r="K53" s="150"/>
      <c r="L53" s="150"/>
      <c r="M53" s="150"/>
      <c r="N53" s="150"/>
      <c r="O53" s="150"/>
      <c r="P53" s="150"/>
      <c r="Q53" s="150"/>
      <c r="R53" s="150"/>
    </row>
    <row r="54" spans="2:30" s="90" customFormat="1" ht="31.5">
      <c r="B54" s="91" t="str">
        <f>Translation!A119</f>
        <v>SECONDARY ENERGY PRODUCTION AND ENERGY FLUXES</v>
      </c>
      <c r="C54" s="93"/>
      <c r="D54" s="93"/>
      <c r="E54" s="93"/>
      <c r="F54" s="93"/>
      <c r="G54" s="93"/>
      <c r="H54" s="93"/>
      <c r="I54" s="93"/>
      <c r="J54" s="93"/>
      <c r="K54" s="93"/>
      <c r="L54" s="93"/>
      <c r="M54" s="93"/>
      <c r="N54" s="93"/>
      <c r="O54" s="93"/>
      <c r="P54" s="93"/>
      <c r="Q54" s="93"/>
      <c r="R54" s="93"/>
      <c r="S54" s="93"/>
      <c r="T54" s="93"/>
      <c r="U54" s="93"/>
      <c r="V54" s="93"/>
      <c r="W54" s="93"/>
      <c r="X54" s="94"/>
      <c r="AD54" s="92" t="str">
        <f>Translation!$A$21</f>
        <v>[MWh]</v>
      </c>
    </row>
    <row r="55" spans="2:30" s="55" customFormat="1" ht="32.25" customHeight="1">
      <c r="B55" s="292" t="str">
        <f>Translation!A120</f>
        <v>PRODUCTION SECTOR</v>
      </c>
      <c r="C55" s="294" t="str">
        <f>Translation!A121</f>
        <v>ENERGY SOURCE</v>
      </c>
      <c r="D55" s="295"/>
      <c r="E55" s="295"/>
      <c r="F55" s="295"/>
      <c r="G55" s="295"/>
      <c r="H55" s="295"/>
      <c r="I55" s="295"/>
      <c r="J55" s="295"/>
      <c r="K55" s="295"/>
      <c r="L55" s="295"/>
      <c r="M55" s="295"/>
      <c r="N55" s="295"/>
      <c r="O55" s="295"/>
      <c r="P55" s="295"/>
      <c r="Q55" s="295"/>
      <c r="R55" s="295"/>
      <c r="S55" s="296"/>
      <c r="T55" s="294" t="str">
        <f>Translation!A138</f>
        <v>SECONDARY ENERGY CONVERSION</v>
      </c>
      <c r="U55" s="295"/>
      <c r="V55" s="296"/>
      <c r="W55" s="300" t="str">
        <f>Translation!A129</f>
        <v>ENERGY FLUXES</v>
      </c>
      <c r="X55" s="301"/>
      <c r="Y55" s="301"/>
      <c r="Z55" s="301"/>
      <c r="AA55" s="301"/>
      <c r="AB55" s="302"/>
      <c r="AC55" s="317" t="str">
        <f>Translation!A118</f>
        <v>TOTAL</v>
      </c>
      <c r="AD55" s="275" t="str">
        <f>Translation!A137</f>
        <v>Distribution losses and self-consumption</v>
      </c>
    </row>
    <row r="56" spans="2:30" s="55" customFormat="1" ht="18" customHeight="1">
      <c r="B56" s="293"/>
      <c r="C56" s="323" t="str">
        <f>Translation!A98</f>
        <v>Fossil fuels</v>
      </c>
      <c r="D56" s="324"/>
      <c r="E56" s="324"/>
      <c r="F56" s="324"/>
      <c r="G56" s="324"/>
      <c r="H56" s="324"/>
      <c r="I56" s="325"/>
      <c r="J56" s="323" t="str">
        <f>Translation!A106</f>
        <v>Renewable energy sources (from systems connected to public networks)</v>
      </c>
      <c r="K56" s="324"/>
      <c r="L56" s="324"/>
      <c r="M56" s="324"/>
      <c r="N56" s="324"/>
      <c r="O56" s="324"/>
      <c r="P56" s="324"/>
      <c r="Q56" s="324"/>
      <c r="R56" s="325"/>
      <c r="S56" s="275" t="str">
        <f>Translation!A116</f>
        <v>Subtotal</v>
      </c>
      <c r="T56" s="321" t="str">
        <f>Translation!A139</f>
        <v>Electricity conversion to cold</v>
      </c>
      <c r="U56" s="321" t="str">
        <f>Translation!A140</f>
        <v>Heat conversion to cold</v>
      </c>
      <c r="V56" s="275" t="str">
        <f>Translation!A116</f>
        <v>Subtotal</v>
      </c>
      <c r="W56" s="319" t="str">
        <f>Translation!A130</f>
        <v>Storage</v>
      </c>
      <c r="X56" s="320"/>
      <c r="Y56" s="318" t="str">
        <f>Translation!A133</f>
        <v>External connection</v>
      </c>
      <c r="Z56" s="318"/>
      <c r="AA56" s="292" t="str">
        <f>Translation!A136</f>
        <v>Reexportation and external consumption</v>
      </c>
      <c r="AB56" s="275" t="str">
        <f>Translation!A116</f>
        <v>Subtotal</v>
      </c>
      <c r="AC56" s="317"/>
      <c r="AD56" s="275"/>
    </row>
    <row r="57" spans="2:30" s="55" customFormat="1" ht="69.75" customHeight="1">
      <c r="B57" s="73" t="str">
        <f>Translation!A122</f>
        <v>Energy product</v>
      </c>
      <c r="C57" s="112" t="str">
        <f>Translation!A99</f>
        <v>Fueloil</v>
      </c>
      <c r="D57" s="112" t="str">
        <f>Translation!A100</f>
        <v>Diesel</v>
      </c>
      <c r="E57" s="112" t="str">
        <f>Translation!A101</f>
        <v>Gasoline</v>
      </c>
      <c r="F57" s="112" t="str">
        <f>Translation!A102</f>
        <v>LPG</v>
      </c>
      <c r="G57" s="112" t="str">
        <f>Translation!A103</f>
        <v>Natural gas</v>
      </c>
      <c r="H57" s="112" t="str">
        <f>Translation!A104</f>
        <v>Coal</v>
      </c>
      <c r="I57" s="112" t="str">
        <f>Translation!A116</f>
        <v>Subtotal</v>
      </c>
      <c r="J57" s="112" t="str">
        <f>Translation!A108</f>
        <v>Hydro</v>
      </c>
      <c r="K57" s="112" t="str">
        <f>Translation!A109</f>
        <v>Wind</v>
      </c>
      <c r="L57" s="112" t="str">
        <f>Translation!A110</f>
        <v>Solar</v>
      </c>
      <c r="M57" s="112" t="str">
        <f>Translation!A111</f>
        <v>Geothermal</v>
      </c>
      <c r="N57" s="112" t="str">
        <f>Translation!A112</f>
        <v>Ocean</v>
      </c>
      <c r="O57" s="112" t="str">
        <f>Translation!A113</f>
        <v>Biomass</v>
      </c>
      <c r="P57" s="112" t="str">
        <f>Translation!A114</f>
        <v>Urban waste</v>
      </c>
      <c r="Q57" s="112" t="str">
        <f>Translation!A115</f>
        <v>Energy recovery</v>
      </c>
      <c r="R57" s="112" t="str">
        <f>Translation!A116</f>
        <v>Subtotal</v>
      </c>
      <c r="S57" s="275"/>
      <c r="T57" s="322"/>
      <c r="U57" s="322"/>
      <c r="V57" s="275"/>
      <c r="W57" s="116" t="str">
        <f>Translation!A131</f>
        <v>Input to storage</v>
      </c>
      <c r="X57" s="116" t="str">
        <f>Translation!A132</f>
        <v>Output from storage</v>
      </c>
      <c r="Y57" s="116" t="str">
        <f>Translation!A134</f>
        <v>Import to island</v>
      </c>
      <c r="Z57" s="116" t="str">
        <f>Translation!A135</f>
        <v>Export from island</v>
      </c>
      <c r="AA57" s="293"/>
      <c r="AB57" s="275"/>
      <c r="AC57" s="317"/>
      <c r="AD57" s="275"/>
    </row>
    <row r="58" spans="2:30" s="55" customFormat="1" ht="15.75">
      <c r="B58" s="198" t="str">
        <f>Translation!A123</f>
        <v>Electricity</v>
      </c>
      <c r="C58" s="162"/>
      <c r="D58" s="162"/>
      <c r="E58" s="162"/>
      <c r="F58" s="162"/>
      <c r="G58" s="162"/>
      <c r="H58" s="162"/>
      <c r="I58" s="63">
        <f>SUM(C58:H58)</f>
        <v>0</v>
      </c>
      <c r="J58" s="162">
        <v>0</v>
      </c>
      <c r="K58" s="162">
        <v>42750</v>
      </c>
      <c r="L58" s="162">
        <v>0</v>
      </c>
      <c r="M58" s="162">
        <v>0</v>
      </c>
      <c r="N58" s="162">
        <v>0</v>
      </c>
      <c r="O58" s="162">
        <v>15250.23</v>
      </c>
      <c r="P58" s="162">
        <v>0</v>
      </c>
      <c r="Q58" s="162">
        <v>0</v>
      </c>
      <c r="R58" s="63">
        <f>SUM(J58:Q58)</f>
        <v>58000.229999999996</v>
      </c>
      <c r="S58" s="63">
        <f>I58+R58</f>
        <v>58000.229999999996</v>
      </c>
      <c r="T58" s="162"/>
      <c r="U58" s="162"/>
      <c r="V58" s="63">
        <f>-T58</f>
        <v>0</v>
      </c>
      <c r="W58" s="162"/>
      <c r="X58" s="162"/>
      <c r="Y58" s="162"/>
      <c r="Z58" s="162">
        <v>26824.263646285395</v>
      </c>
      <c r="AA58" s="199">
        <f>$C$49+$C$50+$C$51</f>
        <v>0</v>
      </c>
      <c r="AB58" s="63">
        <f>-SUM(W58)+SUM(X58:Y58)-SUM(Z58:AA58)</f>
        <v>-26824.263646285395</v>
      </c>
      <c r="AC58" s="68">
        <f>S58+V58+AB58</f>
        <v>31175.9663537146</v>
      </c>
      <c r="AD58" s="200">
        <f>AC58-C48</f>
        <v>3117.8099353714533</v>
      </c>
    </row>
    <row r="59" spans="2:30" s="55" customFormat="1" ht="15.75">
      <c r="B59" s="197" t="str">
        <f>Translation!A124</f>
        <v>Heat</v>
      </c>
      <c r="C59" s="162"/>
      <c r="D59" s="162"/>
      <c r="E59" s="162"/>
      <c r="F59" s="162"/>
      <c r="G59" s="162"/>
      <c r="H59" s="162"/>
      <c r="I59" s="63">
        <f>SUM(C59:H59)</f>
        <v>0</v>
      </c>
      <c r="J59" s="162">
        <v>0</v>
      </c>
      <c r="K59" s="162">
        <v>0</v>
      </c>
      <c r="L59" s="162">
        <v>0</v>
      </c>
      <c r="M59" s="162">
        <v>0</v>
      </c>
      <c r="N59" s="162">
        <v>0</v>
      </c>
      <c r="O59" s="162">
        <v>-0.3091294505211408</v>
      </c>
      <c r="P59" s="162">
        <v>0</v>
      </c>
      <c r="Q59" s="162">
        <v>19304.08860759494</v>
      </c>
      <c r="R59" s="63">
        <f>SUM(J59:Q59)</f>
        <v>19303.779478144417</v>
      </c>
      <c r="S59" s="63">
        <f>I59+R59</f>
        <v>19303.779478144417</v>
      </c>
      <c r="T59" s="162"/>
      <c r="U59" s="162"/>
      <c r="V59" s="63">
        <f>-U59</f>
        <v>0</v>
      </c>
      <c r="W59" s="162"/>
      <c r="X59" s="162"/>
      <c r="Y59" s="162"/>
      <c r="Z59" s="162"/>
      <c r="AA59" s="199">
        <f>$D$49+$D$50+$D$51</f>
        <v>0</v>
      </c>
      <c r="AB59" s="63">
        <f>-SUM(W59)+SUM(X59:Y59)-SUM(Z59:AA59)</f>
        <v>0</v>
      </c>
      <c r="AC59" s="68">
        <f>S59+V59+AB59</f>
        <v>19303.779478144417</v>
      </c>
      <c r="AD59" s="200">
        <f>AC59-D48</f>
        <v>3167.7799223578986</v>
      </c>
    </row>
    <row r="60" spans="2:30" s="55" customFormat="1" ht="15.75">
      <c r="B60" s="197" t="str">
        <f>Translation!A125</f>
        <v>Cold</v>
      </c>
      <c r="C60" s="162"/>
      <c r="D60" s="162"/>
      <c r="E60" s="162"/>
      <c r="F60" s="162"/>
      <c r="G60" s="162"/>
      <c r="H60" s="162"/>
      <c r="I60" s="63">
        <f>SUM(C60:H60)</f>
        <v>0</v>
      </c>
      <c r="J60" s="162">
        <v>0</v>
      </c>
      <c r="K60" s="162">
        <v>0</v>
      </c>
      <c r="L60" s="162">
        <v>0</v>
      </c>
      <c r="M60" s="162">
        <v>0</v>
      </c>
      <c r="N60" s="162">
        <v>0</v>
      </c>
      <c r="O60" s="162">
        <v>0</v>
      </c>
      <c r="P60" s="162">
        <v>0</v>
      </c>
      <c r="Q60" s="162">
        <v>0</v>
      </c>
      <c r="R60" s="63">
        <f>SUM(J60:Q60)</f>
        <v>0</v>
      </c>
      <c r="S60" s="63">
        <f>I60+R60</f>
        <v>0</v>
      </c>
      <c r="T60" s="162"/>
      <c r="U60" s="162"/>
      <c r="V60" s="63">
        <f>SUM(T60:U60)</f>
        <v>0</v>
      </c>
      <c r="W60" s="162"/>
      <c r="X60" s="162"/>
      <c r="Y60" s="162"/>
      <c r="Z60" s="162"/>
      <c r="AA60" s="199">
        <f>$E$49+$E$50+$E$51</f>
        <v>0</v>
      </c>
      <c r="AB60" s="63">
        <f>-SUM(W60)+SUM(X60:Y60)-SUM(Z60:AA60)</f>
        <v>0</v>
      </c>
      <c r="AC60" s="68">
        <f>S60+V60+AB60</f>
        <v>0</v>
      </c>
      <c r="AD60" s="200">
        <f>AC60-E48</f>
        <v>0</v>
      </c>
    </row>
    <row r="61" spans="2:30" s="55" customFormat="1" ht="15.75">
      <c r="B61" s="74" t="str">
        <f>Translation!A118</f>
        <v>TOTAL</v>
      </c>
      <c r="C61" s="57">
        <f aca="true" t="shared" si="18" ref="C61:AD61">SUM(C58:C60)</f>
        <v>0</v>
      </c>
      <c r="D61" s="57">
        <f t="shared" si="18"/>
        <v>0</v>
      </c>
      <c r="E61" s="57">
        <f t="shared" si="18"/>
        <v>0</v>
      </c>
      <c r="F61" s="57">
        <f t="shared" si="18"/>
        <v>0</v>
      </c>
      <c r="G61" s="57">
        <f t="shared" si="18"/>
        <v>0</v>
      </c>
      <c r="H61" s="57">
        <f t="shared" si="18"/>
        <v>0</v>
      </c>
      <c r="I61" s="57">
        <f t="shared" si="18"/>
        <v>0</v>
      </c>
      <c r="J61" s="57">
        <f t="shared" si="18"/>
        <v>0</v>
      </c>
      <c r="K61" s="57">
        <f t="shared" si="18"/>
        <v>42750</v>
      </c>
      <c r="L61" s="57">
        <f t="shared" si="18"/>
        <v>0</v>
      </c>
      <c r="M61" s="57">
        <f t="shared" si="18"/>
        <v>0</v>
      </c>
      <c r="N61" s="57">
        <f t="shared" si="18"/>
        <v>0</v>
      </c>
      <c r="O61" s="57">
        <f t="shared" si="18"/>
        <v>15249.920870549478</v>
      </c>
      <c r="P61" s="57">
        <f t="shared" si="18"/>
        <v>0</v>
      </c>
      <c r="Q61" s="57">
        <f t="shared" si="18"/>
        <v>19304.08860759494</v>
      </c>
      <c r="R61" s="57">
        <f t="shared" si="18"/>
        <v>77304.0094781444</v>
      </c>
      <c r="S61" s="57">
        <f t="shared" si="18"/>
        <v>77304.0094781444</v>
      </c>
      <c r="T61" s="57">
        <f t="shared" si="18"/>
        <v>0</v>
      </c>
      <c r="U61" s="57">
        <f t="shared" si="18"/>
        <v>0</v>
      </c>
      <c r="V61" s="57">
        <f t="shared" si="18"/>
        <v>0</v>
      </c>
      <c r="W61" s="57">
        <f t="shared" si="18"/>
        <v>0</v>
      </c>
      <c r="X61" s="57">
        <f t="shared" si="18"/>
        <v>0</v>
      </c>
      <c r="Y61" s="57">
        <f t="shared" si="18"/>
        <v>0</v>
      </c>
      <c r="Z61" s="57">
        <f t="shared" si="18"/>
        <v>26824.263646285395</v>
      </c>
      <c r="AA61" s="57">
        <f t="shared" si="18"/>
        <v>0</v>
      </c>
      <c r="AB61" s="57">
        <f t="shared" si="18"/>
        <v>-26824.263646285395</v>
      </c>
      <c r="AC61" s="57">
        <f t="shared" si="18"/>
        <v>50479.74583185902</v>
      </c>
      <c r="AD61" s="57">
        <f t="shared" si="18"/>
        <v>6285.589857729352</v>
      </c>
    </row>
    <row r="62" spans="3:32" s="55" customFormat="1" ht="15">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row>
    <row r="63" spans="2:31" s="90" customFormat="1" ht="31.5">
      <c r="B63" s="91" t="str">
        <f>Translation!A126</f>
        <v>PRIMARY ENERGY CONVERTED TO SECONDARY ENERGY (primary energy consumption)</v>
      </c>
      <c r="C63" s="95"/>
      <c r="D63" s="95"/>
      <c r="E63" s="95"/>
      <c r="F63" s="95"/>
      <c r="G63" s="95"/>
      <c r="H63" s="95"/>
      <c r="I63" s="95"/>
      <c r="J63" s="95"/>
      <c r="K63" s="95"/>
      <c r="L63" s="95"/>
      <c r="M63" s="95"/>
      <c r="N63" s="95"/>
      <c r="O63" s="95"/>
      <c r="P63" s="95"/>
      <c r="Q63" s="95"/>
      <c r="R63" s="95"/>
      <c r="S63" s="92"/>
      <c r="T63" s="92" t="str">
        <f>Translation!$A$21</f>
        <v>[MWh]</v>
      </c>
      <c r="U63" s="96"/>
      <c r="V63" s="96"/>
      <c r="W63" s="97"/>
      <c r="X63" s="96"/>
      <c r="Y63" s="96"/>
      <c r="Z63" s="96"/>
      <c r="AA63" s="96"/>
      <c r="AB63" s="96"/>
      <c r="AC63" s="96"/>
      <c r="AD63" s="96"/>
      <c r="AE63" s="96"/>
    </row>
    <row r="64" spans="2:31" s="55" customFormat="1" ht="30" customHeight="1">
      <c r="B64" s="292" t="str">
        <f>Translation!A120</f>
        <v>PRODUCTION SECTOR</v>
      </c>
      <c r="C64" s="289" t="str">
        <f>Translation!A142</f>
        <v>PRIMARY ENERGY SOURCE</v>
      </c>
      <c r="D64" s="290"/>
      <c r="E64" s="290"/>
      <c r="F64" s="290"/>
      <c r="G64" s="290"/>
      <c r="H64" s="290"/>
      <c r="I64" s="290"/>
      <c r="J64" s="290"/>
      <c r="K64" s="290"/>
      <c r="L64" s="290"/>
      <c r="M64" s="290"/>
      <c r="N64" s="290"/>
      <c r="O64" s="290"/>
      <c r="P64" s="290"/>
      <c r="Q64" s="290"/>
      <c r="R64" s="290"/>
      <c r="S64" s="291"/>
      <c r="T64" s="255" t="str">
        <f>Translation!A127</f>
        <v>Conversion losses from primary to secondary energy</v>
      </c>
      <c r="U64" s="61"/>
      <c r="V64" s="61"/>
      <c r="W64" s="72"/>
      <c r="X64" s="61"/>
      <c r="Y64" s="61"/>
      <c r="Z64" s="61"/>
      <c r="AA64" s="61"/>
      <c r="AB64" s="61"/>
      <c r="AC64" s="61"/>
      <c r="AD64" s="61"/>
      <c r="AE64" s="61"/>
    </row>
    <row r="65" spans="2:31" s="55" customFormat="1" ht="15" customHeight="1">
      <c r="B65" s="293"/>
      <c r="C65" s="289" t="str">
        <f>Translation!A98</f>
        <v>Fossil fuels</v>
      </c>
      <c r="D65" s="290"/>
      <c r="E65" s="290"/>
      <c r="F65" s="290"/>
      <c r="G65" s="290"/>
      <c r="H65" s="290"/>
      <c r="I65" s="291"/>
      <c r="J65" s="289" t="str">
        <f>Translation!A107</f>
        <v>Renewable energy sources</v>
      </c>
      <c r="K65" s="290"/>
      <c r="L65" s="290"/>
      <c r="M65" s="290"/>
      <c r="N65" s="290"/>
      <c r="O65" s="290"/>
      <c r="P65" s="290"/>
      <c r="Q65" s="290"/>
      <c r="R65" s="291"/>
      <c r="S65" s="303" t="str">
        <f>Translation!A118</f>
        <v>TOTAL</v>
      </c>
      <c r="T65" s="256"/>
      <c r="U65" s="61"/>
      <c r="V65" s="61"/>
      <c r="W65" s="72"/>
      <c r="X65" s="61"/>
      <c r="Y65" s="61"/>
      <c r="Z65" s="61"/>
      <c r="AA65" s="61"/>
      <c r="AB65" s="61"/>
      <c r="AC65" s="61"/>
      <c r="AD65" s="61"/>
      <c r="AE65" s="61"/>
    </row>
    <row r="66" spans="2:31" s="55" customFormat="1" ht="69.75" customHeight="1">
      <c r="B66" s="73" t="str">
        <f>Translation!A122</f>
        <v>Energy product</v>
      </c>
      <c r="C66" s="115" t="str">
        <f>Translation!A99</f>
        <v>Fueloil</v>
      </c>
      <c r="D66" s="115" t="str">
        <f>Translation!A100</f>
        <v>Diesel</v>
      </c>
      <c r="E66" s="115" t="str">
        <f>Translation!A101</f>
        <v>Gasoline</v>
      </c>
      <c r="F66" s="115" t="str">
        <f>Translation!A102</f>
        <v>LPG</v>
      </c>
      <c r="G66" s="115" t="str">
        <f>Translation!A103</f>
        <v>Natural gas</v>
      </c>
      <c r="H66" s="115" t="str">
        <f>Translation!A104</f>
        <v>Coal</v>
      </c>
      <c r="I66" s="115" t="str">
        <f>Translation!A116</f>
        <v>Subtotal</v>
      </c>
      <c r="J66" s="115" t="str">
        <f>Translation!A108</f>
        <v>Hydro</v>
      </c>
      <c r="K66" s="115" t="str">
        <f>Translation!A109</f>
        <v>Wind</v>
      </c>
      <c r="L66" s="115" t="str">
        <f>Translation!A110</f>
        <v>Solar</v>
      </c>
      <c r="M66" s="115" t="str">
        <f>Translation!A111</f>
        <v>Geothermal</v>
      </c>
      <c r="N66" s="115" t="str">
        <f>Translation!A112</f>
        <v>Ocean</v>
      </c>
      <c r="O66" s="115" t="str">
        <f>Translation!A113</f>
        <v>Biomass</v>
      </c>
      <c r="P66" s="115" t="str">
        <f>Translation!A114</f>
        <v>Urban waste</v>
      </c>
      <c r="Q66" s="115" t="str">
        <f>Translation!A115</f>
        <v>Energy recovery</v>
      </c>
      <c r="R66" s="115" t="str">
        <f>Translation!A116</f>
        <v>Subtotal</v>
      </c>
      <c r="S66" s="303"/>
      <c r="T66" s="257"/>
      <c r="U66" s="61"/>
      <c r="V66" s="61"/>
      <c r="W66" s="72"/>
      <c r="X66" s="61"/>
      <c r="Y66" s="61"/>
      <c r="Z66" s="61"/>
      <c r="AA66" s="61"/>
      <c r="AB66" s="61"/>
      <c r="AC66" s="61"/>
      <c r="AD66" s="61"/>
      <c r="AE66" s="61"/>
    </row>
    <row r="67" spans="2:31" s="55" customFormat="1" ht="15.75">
      <c r="B67" s="198" t="str">
        <f>Translation!A123</f>
        <v>Electricity</v>
      </c>
      <c r="C67" s="162"/>
      <c r="D67" s="162"/>
      <c r="E67" s="162"/>
      <c r="F67" s="162"/>
      <c r="G67" s="162"/>
      <c r="H67" s="162"/>
      <c r="I67" s="63">
        <f>SUM(C67:H67)</f>
        <v>0</v>
      </c>
      <c r="J67" s="79">
        <f>J58</f>
        <v>0</v>
      </c>
      <c r="K67" s="79">
        <f aca="true" t="shared" si="19" ref="K67:P67">K58</f>
        <v>42750</v>
      </c>
      <c r="L67" s="79">
        <f t="shared" si="19"/>
        <v>0</v>
      </c>
      <c r="M67" s="79">
        <f t="shared" si="19"/>
        <v>0</v>
      </c>
      <c r="N67" s="79">
        <f t="shared" si="19"/>
        <v>0</v>
      </c>
      <c r="O67" s="162">
        <v>38124.982500000006</v>
      </c>
      <c r="P67" s="79">
        <f t="shared" si="19"/>
        <v>0</v>
      </c>
      <c r="Q67" s="79"/>
      <c r="R67" s="63">
        <f>SUM(J67:Q67)</f>
        <v>80874.98250000001</v>
      </c>
      <c r="S67" s="63">
        <f>I67+R67</f>
        <v>80874.98250000001</v>
      </c>
      <c r="T67" s="75">
        <f>S67-AC58+AB58</f>
        <v>22874.75250000002</v>
      </c>
      <c r="U67" s="61"/>
      <c r="V67" s="61"/>
      <c r="W67" s="62"/>
      <c r="X67" s="61"/>
      <c r="Y67" s="61"/>
      <c r="Z67" s="61"/>
      <c r="AA67" s="61"/>
      <c r="AB67" s="61"/>
      <c r="AC67" s="61"/>
      <c r="AD67" s="61"/>
      <c r="AE67" s="61"/>
    </row>
    <row r="68" spans="2:31" s="55" customFormat="1" ht="15.75">
      <c r="B68" s="198" t="str">
        <f>Translation!A124</f>
        <v>Heat</v>
      </c>
      <c r="C68" s="162"/>
      <c r="D68" s="162"/>
      <c r="E68" s="162"/>
      <c r="F68" s="162"/>
      <c r="G68" s="162"/>
      <c r="H68" s="162"/>
      <c r="I68" s="63">
        <f>SUM(C68:H68)</f>
        <v>0</v>
      </c>
      <c r="J68" s="79">
        <f aca="true" t="shared" si="20" ref="J68:P68">J59</f>
        <v>0</v>
      </c>
      <c r="K68" s="79">
        <f t="shared" si="20"/>
        <v>0</v>
      </c>
      <c r="L68" s="79">
        <f t="shared" si="20"/>
        <v>0</v>
      </c>
      <c r="M68" s="79">
        <f t="shared" si="20"/>
        <v>0</v>
      </c>
      <c r="N68" s="79">
        <f t="shared" si="20"/>
        <v>0</v>
      </c>
      <c r="O68" s="162"/>
      <c r="P68" s="79">
        <f t="shared" si="20"/>
        <v>0</v>
      </c>
      <c r="Q68" s="79"/>
      <c r="R68" s="63">
        <f>SUM(J68:Q68)</f>
        <v>0</v>
      </c>
      <c r="S68" s="63">
        <f>I68+R68</f>
        <v>0</v>
      </c>
      <c r="T68" s="75">
        <f>S68-AC59+AB59</f>
        <v>-19303.779478144417</v>
      </c>
      <c r="U68" s="61"/>
      <c r="V68" s="61"/>
      <c r="W68" s="62"/>
      <c r="X68" s="61"/>
      <c r="Y68" s="61"/>
      <c r="Z68" s="61"/>
      <c r="AA68" s="61"/>
      <c r="AB68" s="61"/>
      <c r="AC68" s="61"/>
      <c r="AD68" s="61"/>
      <c r="AE68" s="61"/>
    </row>
    <row r="69" spans="2:31" s="55" customFormat="1" ht="15.75">
      <c r="B69" s="198" t="str">
        <f>Translation!A125</f>
        <v>Cold</v>
      </c>
      <c r="C69" s="162"/>
      <c r="D69" s="162"/>
      <c r="E69" s="162"/>
      <c r="F69" s="162"/>
      <c r="G69" s="162"/>
      <c r="H69" s="162"/>
      <c r="I69" s="63">
        <f>SUM(C69:H69)</f>
        <v>0</v>
      </c>
      <c r="J69" s="162"/>
      <c r="K69" s="162"/>
      <c r="L69" s="162"/>
      <c r="M69" s="162"/>
      <c r="N69" s="162"/>
      <c r="O69" s="162"/>
      <c r="P69" s="162"/>
      <c r="Q69" s="162"/>
      <c r="R69" s="63">
        <f>SUM(J69:Q69)</f>
        <v>0</v>
      </c>
      <c r="S69" s="63">
        <f>I69+R69</f>
        <v>0</v>
      </c>
      <c r="T69" s="75">
        <f>S69-AC60+AB60</f>
        <v>0</v>
      </c>
      <c r="U69" s="61"/>
      <c r="V69" s="61"/>
      <c r="W69" s="62"/>
      <c r="X69" s="61"/>
      <c r="Y69" s="61"/>
      <c r="Z69" s="61"/>
      <c r="AA69" s="61"/>
      <c r="AB69" s="61"/>
      <c r="AC69" s="61"/>
      <c r="AD69" s="61"/>
      <c r="AE69" s="61"/>
    </row>
    <row r="70" spans="2:31" s="55" customFormat="1" ht="15.75">
      <c r="B70" s="74" t="str">
        <f>Translation!A118</f>
        <v>TOTAL</v>
      </c>
      <c r="C70" s="57">
        <f aca="true" t="shared" si="21" ref="C70:S70">SUM(C67:C69)</f>
        <v>0</v>
      </c>
      <c r="D70" s="57">
        <f t="shared" si="21"/>
        <v>0</v>
      </c>
      <c r="E70" s="57">
        <f t="shared" si="21"/>
        <v>0</v>
      </c>
      <c r="F70" s="57">
        <f t="shared" si="21"/>
        <v>0</v>
      </c>
      <c r="G70" s="57">
        <f t="shared" si="21"/>
        <v>0</v>
      </c>
      <c r="H70" s="57">
        <f t="shared" si="21"/>
        <v>0</v>
      </c>
      <c r="I70" s="57">
        <f t="shared" si="21"/>
        <v>0</v>
      </c>
      <c r="J70" s="57">
        <f t="shared" si="21"/>
        <v>0</v>
      </c>
      <c r="K70" s="57">
        <f t="shared" si="21"/>
        <v>42750</v>
      </c>
      <c r="L70" s="57">
        <f t="shared" si="21"/>
        <v>0</v>
      </c>
      <c r="M70" s="57">
        <f t="shared" si="21"/>
        <v>0</v>
      </c>
      <c r="N70" s="57">
        <f t="shared" si="21"/>
        <v>0</v>
      </c>
      <c r="O70" s="57">
        <f t="shared" si="21"/>
        <v>38124.982500000006</v>
      </c>
      <c r="P70" s="57">
        <f t="shared" si="21"/>
        <v>0</v>
      </c>
      <c r="Q70" s="57">
        <f t="shared" si="21"/>
        <v>0</v>
      </c>
      <c r="R70" s="57">
        <f t="shared" si="21"/>
        <v>80874.98250000001</v>
      </c>
      <c r="S70" s="57">
        <f t="shared" si="21"/>
        <v>80874.98250000001</v>
      </c>
      <c r="T70" s="75">
        <f>S70-AC61+AB61</f>
        <v>3570.973021855596</v>
      </c>
      <c r="U70" s="61"/>
      <c r="V70" s="61"/>
      <c r="W70" s="60"/>
      <c r="X70" s="61"/>
      <c r="Y70" s="61"/>
      <c r="Z70" s="61"/>
      <c r="AA70" s="61"/>
      <c r="AB70" s="61"/>
      <c r="AC70" s="61"/>
      <c r="AD70" s="61"/>
      <c r="AE70" s="61"/>
    </row>
    <row r="71" s="55" customFormat="1" ht="15">
      <c r="B71" s="56"/>
    </row>
    <row r="72" spans="2:25" s="90" customFormat="1" ht="31.5">
      <c r="B72" s="91" t="str">
        <f>Translation!A143</f>
        <v>PRIMARY ENERGY DEMAND</v>
      </c>
      <c r="C72" s="93"/>
      <c r="D72" s="93"/>
      <c r="E72" s="93"/>
      <c r="F72" s="93"/>
      <c r="G72" s="93"/>
      <c r="H72" s="93"/>
      <c r="I72" s="93"/>
      <c r="J72" s="93"/>
      <c r="K72" s="93"/>
      <c r="L72" s="93"/>
      <c r="M72" s="93"/>
      <c r="N72" s="93"/>
      <c r="O72" s="93"/>
      <c r="P72" s="93"/>
      <c r="Q72" s="93"/>
      <c r="R72" s="93"/>
      <c r="Y72" s="92" t="str">
        <f>Translation!$A$21</f>
        <v>[MWh]</v>
      </c>
    </row>
    <row r="73" spans="2:25" s="55" customFormat="1" ht="30" customHeight="1">
      <c r="B73" s="329" t="str">
        <f>Translation!A122</f>
        <v>Energy product</v>
      </c>
      <c r="C73" s="294" t="str">
        <f>Translation!A142</f>
        <v>PRIMARY ENERGY SOURCE</v>
      </c>
      <c r="D73" s="295"/>
      <c r="E73" s="295"/>
      <c r="F73" s="295"/>
      <c r="G73" s="295"/>
      <c r="H73" s="295"/>
      <c r="I73" s="295"/>
      <c r="J73" s="295"/>
      <c r="K73" s="295"/>
      <c r="L73" s="295"/>
      <c r="M73" s="295"/>
      <c r="N73" s="295"/>
      <c r="O73" s="295"/>
      <c r="P73" s="295"/>
      <c r="Q73" s="295"/>
      <c r="R73" s="295"/>
      <c r="S73" s="295"/>
      <c r="T73" s="295"/>
      <c r="U73" s="295"/>
      <c r="V73" s="295"/>
      <c r="W73" s="295"/>
      <c r="X73" s="295"/>
      <c r="Y73" s="296"/>
    </row>
    <row r="74" spans="2:25" s="55" customFormat="1" ht="15" customHeight="1">
      <c r="B74" s="330"/>
      <c r="C74" s="294" t="str">
        <f>Translation!A98</f>
        <v>Fossil fuels</v>
      </c>
      <c r="D74" s="295"/>
      <c r="E74" s="295"/>
      <c r="F74" s="295"/>
      <c r="G74" s="295"/>
      <c r="H74" s="295"/>
      <c r="I74" s="296"/>
      <c r="J74" s="294" t="str">
        <f>Translation!A107</f>
        <v>Renewable energy sources</v>
      </c>
      <c r="K74" s="295"/>
      <c r="L74" s="295"/>
      <c r="M74" s="295"/>
      <c r="N74" s="295"/>
      <c r="O74" s="295"/>
      <c r="P74" s="295"/>
      <c r="Q74" s="295"/>
      <c r="R74" s="296"/>
      <c r="S74" s="300" t="str">
        <f>Translation!A123</f>
        <v>Electricity</v>
      </c>
      <c r="T74" s="301"/>
      <c r="U74" s="301"/>
      <c r="V74" s="302"/>
      <c r="W74" s="74" t="str">
        <f>Translation!A124</f>
        <v>Heat</v>
      </c>
      <c r="X74" s="74" t="str">
        <f>Translation!A125</f>
        <v>Cold</v>
      </c>
      <c r="Y74" s="292" t="str">
        <f>Translation!A118</f>
        <v>TOTAL</v>
      </c>
    </row>
    <row r="75" spans="2:25" s="55" customFormat="1" ht="46.5" customHeight="1">
      <c r="B75" s="331"/>
      <c r="C75" s="112" t="str">
        <f>Translation!A99</f>
        <v>Fueloil</v>
      </c>
      <c r="D75" s="112" t="str">
        <f>Translation!A100</f>
        <v>Diesel</v>
      </c>
      <c r="E75" s="112" t="str">
        <f>Translation!A101</f>
        <v>Gasoline</v>
      </c>
      <c r="F75" s="112" t="str">
        <f>Translation!A102</f>
        <v>LPG</v>
      </c>
      <c r="G75" s="112" t="str">
        <f>Translation!A103</f>
        <v>Natural gas</v>
      </c>
      <c r="H75" s="112" t="str">
        <f>Translation!A104</f>
        <v>Coal</v>
      </c>
      <c r="I75" s="112" t="str">
        <f>Translation!A116</f>
        <v>Subtotal</v>
      </c>
      <c r="J75" s="112" t="str">
        <f>Translation!A108</f>
        <v>Hydro</v>
      </c>
      <c r="K75" s="112" t="str">
        <f>Translation!A109</f>
        <v>Wind</v>
      </c>
      <c r="L75" s="112" t="str">
        <f>Translation!A110</f>
        <v>Solar</v>
      </c>
      <c r="M75" s="112" t="str">
        <f>Translation!A111</f>
        <v>Geothermal</v>
      </c>
      <c r="N75" s="112" t="str">
        <f>Translation!A112</f>
        <v>Ocean</v>
      </c>
      <c r="O75" s="112" t="str">
        <f>Translation!A113</f>
        <v>Biomass</v>
      </c>
      <c r="P75" s="112" t="str">
        <f>Translation!A114</f>
        <v>Urban waste</v>
      </c>
      <c r="Q75" s="112" t="str">
        <f>Translation!A115</f>
        <v>Energy recovery</v>
      </c>
      <c r="R75" s="112" t="str">
        <f>Translation!A116</f>
        <v>Subtotal</v>
      </c>
      <c r="S75" s="58" t="str">
        <f>Translation!A144</f>
        <v>Imported electricity (cable)</v>
      </c>
      <c r="T75" s="58" t="str">
        <f>Translation!A145</f>
        <v>Exported electricity (cable)</v>
      </c>
      <c r="U75" s="58" t="str">
        <f>Translation!A136</f>
        <v>Reexportation and external consumption</v>
      </c>
      <c r="V75" s="110" t="str">
        <f>Translation!A116</f>
        <v>Subtotal</v>
      </c>
      <c r="W75" s="110" t="str">
        <f>Translation!A136</f>
        <v>Reexportation and external consumption</v>
      </c>
      <c r="X75" s="110" t="str">
        <f>Translation!A136</f>
        <v>Reexportation and external consumption</v>
      </c>
      <c r="Y75" s="293"/>
    </row>
    <row r="76" spans="2:25" s="55" customFormat="1" ht="15.75">
      <c r="B76" s="113" t="str">
        <f>Translation!A118</f>
        <v>TOTAL</v>
      </c>
      <c r="C76" s="199">
        <f aca="true" t="shared" si="22" ref="C76:H76">G48+C70</f>
        <v>384.60403748574714</v>
      </c>
      <c r="D76" s="199">
        <f t="shared" si="22"/>
        <v>25706.04065302501</v>
      </c>
      <c r="E76" s="199">
        <f t="shared" si="22"/>
        <v>19497.15</v>
      </c>
      <c r="F76" s="199">
        <f t="shared" si="22"/>
        <v>12</v>
      </c>
      <c r="G76" s="199">
        <f t="shared" si="22"/>
        <v>0</v>
      </c>
      <c r="H76" s="199">
        <f t="shared" si="22"/>
        <v>0</v>
      </c>
      <c r="I76" s="57">
        <f>SUM(C76:H76)</f>
        <v>45599.79469051076</v>
      </c>
      <c r="J76" s="199">
        <f aca="true" t="shared" si="23" ref="J76:O76">N48+J70</f>
        <v>0</v>
      </c>
      <c r="K76" s="199">
        <f t="shared" si="23"/>
        <v>42801.6</v>
      </c>
      <c r="L76" s="199">
        <f t="shared" si="23"/>
        <v>0</v>
      </c>
      <c r="M76" s="199">
        <f t="shared" si="23"/>
        <v>5796</v>
      </c>
      <c r="N76" s="199">
        <f t="shared" si="23"/>
        <v>0</v>
      </c>
      <c r="O76" s="199">
        <f t="shared" si="23"/>
        <v>106396.98250000001</v>
      </c>
      <c r="P76" s="199">
        <f>P70</f>
        <v>0</v>
      </c>
      <c r="Q76" s="199">
        <f>Q70</f>
        <v>0</v>
      </c>
      <c r="R76" s="57">
        <f>SUM(J76:Q76)</f>
        <v>154994.58250000002</v>
      </c>
      <c r="S76" s="199">
        <f>Y61</f>
        <v>0</v>
      </c>
      <c r="T76" s="199">
        <f>Z61</f>
        <v>26824.263646285395</v>
      </c>
      <c r="U76" s="199">
        <f>$C$49+$C$50+$C$51</f>
        <v>0</v>
      </c>
      <c r="V76" s="57">
        <f>S76-T76-U76</f>
        <v>-26824.263646285395</v>
      </c>
      <c r="W76" s="199">
        <f>$D$49+$D$50+$D$51</f>
        <v>0</v>
      </c>
      <c r="X76" s="199">
        <f>$E$49+$E$50+$E$51</f>
        <v>0</v>
      </c>
      <c r="Y76" s="57">
        <f>I76+R76+V76-W76-X76</f>
        <v>173770.11354422537</v>
      </c>
    </row>
    <row r="77" s="59" customFormat="1" ht="15">
      <c r="B77" s="78"/>
    </row>
    <row r="78" spans="2:32" s="90" customFormat="1" ht="31.5">
      <c r="B78" s="91" t="str">
        <f>Translation!A128</f>
        <v>ENERGY CONVERSION EFFICIENCY</v>
      </c>
      <c r="C78" s="95"/>
      <c r="D78" s="95"/>
      <c r="E78" s="95"/>
      <c r="F78" s="95"/>
      <c r="G78" s="95"/>
      <c r="H78" s="95"/>
      <c r="I78" s="95"/>
      <c r="J78" s="95"/>
      <c r="K78" s="95"/>
      <c r="L78" s="95"/>
      <c r="M78" s="95"/>
      <c r="N78" s="95"/>
      <c r="O78" s="95"/>
      <c r="P78" s="95"/>
      <c r="Q78" s="95"/>
      <c r="R78" s="95"/>
      <c r="S78" s="92" t="str">
        <f>Translation!$A$22</f>
        <v>[%]</v>
      </c>
      <c r="T78" s="97"/>
      <c r="V78" s="96"/>
      <c r="W78" s="96"/>
      <c r="X78" s="97"/>
      <c r="Y78" s="96"/>
      <c r="Z78" s="96"/>
      <c r="AA78" s="96"/>
      <c r="AB78" s="96"/>
      <c r="AC78" s="96"/>
      <c r="AD78" s="96"/>
      <c r="AE78" s="96"/>
      <c r="AF78" s="96"/>
    </row>
    <row r="79" spans="2:32" s="55" customFormat="1" ht="30" customHeight="1">
      <c r="B79" s="292" t="str">
        <f>Translation!A120</f>
        <v>PRODUCTION SECTOR</v>
      </c>
      <c r="C79" s="289" t="str">
        <f>Translation!A142</f>
        <v>PRIMARY ENERGY SOURCE</v>
      </c>
      <c r="D79" s="290"/>
      <c r="E79" s="290"/>
      <c r="F79" s="290"/>
      <c r="G79" s="290"/>
      <c r="H79" s="290"/>
      <c r="I79" s="290"/>
      <c r="J79" s="290"/>
      <c r="K79" s="290"/>
      <c r="L79" s="290"/>
      <c r="M79" s="290"/>
      <c r="N79" s="290"/>
      <c r="O79" s="290"/>
      <c r="P79" s="290"/>
      <c r="Q79" s="290"/>
      <c r="R79" s="290"/>
      <c r="S79" s="291"/>
      <c r="T79" s="72"/>
      <c r="V79" s="61"/>
      <c r="W79" s="61"/>
      <c r="X79" s="72"/>
      <c r="Y79" s="61"/>
      <c r="Z79" s="61"/>
      <c r="AA79" s="61"/>
      <c r="AB79" s="61"/>
      <c r="AC79" s="61"/>
      <c r="AD79" s="61"/>
      <c r="AE79" s="61"/>
      <c r="AF79" s="61"/>
    </row>
    <row r="80" spans="2:32" s="55" customFormat="1" ht="15" customHeight="1">
      <c r="B80" s="293"/>
      <c r="C80" s="289" t="str">
        <f>Translation!A98</f>
        <v>Fossil fuels</v>
      </c>
      <c r="D80" s="290"/>
      <c r="E80" s="290"/>
      <c r="F80" s="290"/>
      <c r="G80" s="290"/>
      <c r="H80" s="290"/>
      <c r="I80" s="291"/>
      <c r="J80" s="289" t="str">
        <f>Translation!A107</f>
        <v>Renewable energy sources</v>
      </c>
      <c r="K80" s="290"/>
      <c r="L80" s="290"/>
      <c r="M80" s="290"/>
      <c r="N80" s="290"/>
      <c r="O80" s="290"/>
      <c r="P80" s="290"/>
      <c r="Q80" s="290"/>
      <c r="R80" s="291"/>
      <c r="S80" s="303" t="str">
        <f>Translation!A118</f>
        <v>TOTAL</v>
      </c>
      <c r="T80" s="72"/>
      <c r="V80" s="61"/>
      <c r="W80" s="61"/>
      <c r="X80" s="72"/>
      <c r="Y80" s="61"/>
      <c r="Z80" s="61"/>
      <c r="AA80" s="61"/>
      <c r="AB80" s="61"/>
      <c r="AC80" s="61"/>
      <c r="AD80" s="61"/>
      <c r="AE80" s="61"/>
      <c r="AF80" s="61"/>
    </row>
    <row r="81" spans="2:32" s="55" customFormat="1" ht="69.75" customHeight="1">
      <c r="B81" s="73" t="str">
        <f>Translation!A122</f>
        <v>Energy product</v>
      </c>
      <c r="C81" s="115" t="str">
        <f>Translation!A99</f>
        <v>Fueloil</v>
      </c>
      <c r="D81" s="115" t="str">
        <f>Translation!A100</f>
        <v>Diesel</v>
      </c>
      <c r="E81" s="115" t="str">
        <f>Translation!A101</f>
        <v>Gasoline</v>
      </c>
      <c r="F81" s="115" t="str">
        <f>Translation!A102</f>
        <v>LPG</v>
      </c>
      <c r="G81" s="115" t="str">
        <f>Translation!A103</f>
        <v>Natural gas</v>
      </c>
      <c r="H81" s="115" t="str">
        <f>Translation!A104</f>
        <v>Coal</v>
      </c>
      <c r="I81" s="115" t="str">
        <f>Translation!A116</f>
        <v>Subtotal</v>
      </c>
      <c r="J81" s="115" t="str">
        <f>Translation!A108</f>
        <v>Hydro</v>
      </c>
      <c r="K81" s="115" t="str">
        <f>Translation!A109</f>
        <v>Wind</v>
      </c>
      <c r="L81" s="115" t="str">
        <f>Translation!A110</f>
        <v>Solar</v>
      </c>
      <c r="M81" s="115" t="str">
        <f>Translation!A111</f>
        <v>Geothermal</v>
      </c>
      <c r="N81" s="115" t="str">
        <f>Translation!A112</f>
        <v>Ocean</v>
      </c>
      <c r="O81" s="115" t="str">
        <f>Translation!A113</f>
        <v>Biomass</v>
      </c>
      <c r="P81" s="115" t="str">
        <f>Translation!A114</f>
        <v>Urban waste</v>
      </c>
      <c r="Q81" s="115" t="str">
        <f>Translation!A115</f>
        <v>Energy recovery</v>
      </c>
      <c r="R81" s="115" t="str">
        <f>Translation!A116</f>
        <v>Subtotal</v>
      </c>
      <c r="S81" s="303"/>
      <c r="T81" s="72"/>
      <c r="V81" s="61"/>
      <c r="W81" s="61"/>
      <c r="X81" s="72"/>
      <c r="Y81" s="61"/>
      <c r="Z81" s="61"/>
      <c r="AA81" s="61"/>
      <c r="AB81" s="61"/>
      <c r="AC81" s="61"/>
      <c r="AD81" s="61"/>
      <c r="AE81" s="61"/>
      <c r="AF81" s="61"/>
    </row>
    <row r="82" spans="2:32" s="55" customFormat="1" ht="15.75">
      <c r="B82" s="198" t="str">
        <f>Translation!A123</f>
        <v>Electricity</v>
      </c>
      <c r="C82" s="201" t="str">
        <f aca="true" t="shared" si="24" ref="C82:P84">IF(C67&gt;0,C58/C67,"-")</f>
        <v>-</v>
      </c>
      <c r="D82" s="201" t="str">
        <f t="shared" si="24"/>
        <v>-</v>
      </c>
      <c r="E82" s="201" t="str">
        <f t="shared" si="24"/>
        <v>-</v>
      </c>
      <c r="F82" s="201" t="str">
        <f t="shared" si="24"/>
        <v>-</v>
      </c>
      <c r="G82" s="201" t="str">
        <f t="shared" si="24"/>
        <v>-</v>
      </c>
      <c r="H82" s="201" t="str">
        <f t="shared" si="24"/>
        <v>-</v>
      </c>
      <c r="I82" s="71" t="str">
        <f t="shared" si="24"/>
        <v>-</v>
      </c>
      <c r="J82" s="201" t="str">
        <f t="shared" si="24"/>
        <v>-</v>
      </c>
      <c r="K82" s="201">
        <f t="shared" si="24"/>
        <v>1</v>
      </c>
      <c r="L82" s="201" t="str">
        <f t="shared" si="24"/>
        <v>-</v>
      </c>
      <c r="M82" s="201" t="str">
        <f t="shared" si="24"/>
        <v>-</v>
      </c>
      <c r="N82" s="201" t="str">
        <f t="shared" si="24"/>
        <v>-</v>
      </c>
      <c r="O82" s="201">
        <f t="shared" si="24"/>
        <v>0.40000621639629597</v>
      </c>
      <c r="P82" s="201" t="str">
        <f t="shared" si="24"/>
        <v>-</v>
      </c>
      <c r="Q82" s="201" t="s">
        <v>138</v>
      </c>
      <c r="R82" s="71">
        <f aca="true" t="shared" si="25" ref="R82:S84">IF(R67&gt;0,R58/R67,"-")</f>
        <v>0.7171591041766221</v>
      </c>
      <c r="S82" s="71">
        <f t="shared" si="25"/>
        <v>0.7171591041766221</v>
      </c>
      <c r="T82" s="62"/>
      <c r="V82" s="61"/>
      <c r="W82" s="61"/>
      <c r="X82" s="62"/>
      <c r="Y82" s="61"/>
      <c r="Z82" s="61"/>
      <c r="AA82" s="61"/>
      <c r="AB82" s="61"/>
      <c r="AC82" s="61"/>
      <c r="AD82" s="61"/>
      <c r="AE82" s="61"/>
      <c r="AF82" s="61"/>
    </row>
    <row r="83" spans="2:32" s="55" customFormat="1" ht="15.75">
      <c r="B83" s="198" t="str">
        <f>Translation!A124</f>
        <v>Heat</v>
      </c>
      <c r="C83" s="201" t="str">
        <f t="shared" si="24"/>
        <v>-</v>
      </c>
      <c r="D83" s="201" t="str">
        <f t="shared" si="24"/>
        <v>-</v>
      </c>
      <c r="E83" s="201" t="str">
        <f t="shared" si="24"/>
        <v>-</v>
      </c>
      <c r="F83" s="201" t="str">
        <f t="shared" si="24"/>
        <v>-</v>
      </c>
      <c r="G83" s="201" t="str">
        <f t="shared" si="24"/>
        <v>-</v>
      </c>
      <c r="H83" s="201" t="str">
        <f t="shared" si="24"/>
        <v>-</v>
      </c>
      <c r="I83" s="71" t="str">
        <f t="shared" si="24"/>
        <v>-</v>
      </c>
      <c r="J83" s="201" t="str">
        <f t="shared" si="24"/>
        <v>-</v>
      </c>
      <c r="K83" s="201" t="str">
        <f t="shared" si="24"/>
        <v>-</v>
      </c>
      <c r="L83" s="201" t="str">
        <f t="shared" si="24"/>
        <v>-</v>
      </c>
      <c r="M83" s="201" t="str">
        <f t="shared" si="24"/>
        <v>-</v>
      </c>
      <c r="N83" s="201" t="str">
        <f t="shared" si="24"/>
        <v>-</v>
      </c>
      <c r="O83" s="201" t="str">
        <f t="shared" si="24"/>
        <v>-</v>
      </c>
      <c r="P83" s="201" t="str">
        <f t="shared" si="24"/>
        <v>-</v>
      </c>
      <c r="Q83" s="201" t="s">
        <v>138</v>
      </c>
      <c r="R83" s="71" t="str">
        <f t="shared" si="25"/>
        <v>-</v>
      </c>
      <c r="S83" s="71" t="str">
        <f t="shared" si="25"/>
        <v>-</v>
      </c>
      <c r="T83" s="62"/>
      <c r="V83" s="61"/>
      <c r="W83" s="61"/>
      <c r="X83" s="62"/>
      <c r="Y83" s="61"/>
      <c r="Z83" s="61"/>
      <c r="AA83" s="61"/>
      <c r="AB83" s="61"/>
      <c r="AC83" s="61"/>
      <c r="AD83" s="61"/>
      <c r="AE83" s="61"/>
      <c r="AF83" s="61"/>
    </row>
    <row r="84" spans="2:32" s="55" customFormat="1" ht="15.75">
      <c r="B84" s="198" t="str">
        <f>Translation!A125</f>
        <v>Cold</v>
      </c>
      <c r="C84" s="201" t="str">
        <f t="shared" si="24"/>
        <v>-</v>
      </c>
      <c r="D84" s="201" t="str">
        <f t="shared" si="24"/>
        <v>-</v>
      </c>
      <c r="E84" s="201" t="str">
        <f t="shared" si="24"/>
        <v>-</v>
      </c>
      <c r="F84" s="201" t="str">
        <f t="shared" si="24"/>
        <v>-</v>
      </c>
      <c r="G84" s="201" t="str">
        <f t="shared" si="24"/>
        <v>-</v>
      </c>
      <c r="H84" s="201" t="str">
        <f t="shared" si="24"/>
        <v>-</v>
      </c>
      <c r="I84" s="71" t="str">
        <f t="shared" si="24"/>
        <v>-</v>
      </c>
      <c r="J84" s="201" t="str">
        <f t="shared" si="24"/>
        <v>-</v>
      </c>
      <c r="K84" s="201" t="str">
        <f t="shared" si="24"/>
        <v>-</v>
      </c>
      <c r="L84" s="201" t="str">
        <f t="shared" si="24"/>
        <v>-</v>
      </c>
      <c r="M84" s="201" t="str">
        <f t="shared" si="24"/>
        <v>-</v>
      </c>
      <c r="N84" s="201" t="str">
        <f t="shared" si="24"/>
        <v>-</v>
      </c>
      <c r="O84" s="201" t="str">
        <f t="shared" si="24"/>
        <v>-</v>
      </c>
      <c r="P84" s="201" t="str">
        <f t="shared" si="24"/>
        <v>-</v>
      </c>
      <c r="Q84" s="201" t="s">
        <v>138</v>
      </c>
      <c r="R84" s="71" t="str">
        <f t="shared" si="25"/>
        <v>-</v>
      </c>
      <c r="S84" s="71" t="str">
        <f t="shared" si="25"/>
        <v>-</v>
      </c>
      <c r="T84" s="62"/>
      <c r="V84" s="61"/>
      <c r="W84" s="61"/>
      <c r="X84" s="62"/>
      <c r="Y84" s="61"/>
      <c r="Z84" s="61"/>
      <c r="AA84" s="61"/>
      <c r="AB84" s="61"/>
      <c r="AC84" s="61"/>
      <c r="AD84" s="61"/>
      <c r="AE84" s="61"/>
      <c r="AF84" s="61"/>
    </row>
    <row r="85" s="55" customFormat="1" ht="40.5" customHeight="1">
      <c r="B85" s="56"/>
    </row>
    <row r="86" spans="1:14" s="133" customFormat="1" ht="36">
      <c r="A86" s="131" t="s">
        <v>1099</v>
      </c>
      <c r="B86" s="132" t="str">
        <f>Translation!A152</f>
        <v>RESULTS OF EMISSION INVENTORY</v>
      </c>
      <c r="C86" s="131"/>
      <c r="D86" s="132"/>
      <c r="E86" s="131"/>
      <c r="F86" s="132"/>
      <c r="G86" s="131"/>
      <c r="H86" s="132"/>
      <c r="I86" s="131"/>
      <c r="J86" s="132"/>
      <c r="K86" s="149"/>
      <c r="L86" s="149"/>
      <c r="M86" s="149"/>
      <c r="N86" s="149"/>
    </row>
    <row r="87" spans="2:21" s="90" customFormat="1" ht="31.5">
      <c r="B87" s="91" t="str">
        <f>Translation!A148</f>
        <v>CO2 EMISSIONS FROM FINAL USE</v>
      </c>
      <c r="C87" s="98"/>
      <c r="D87" s="98"/>
      <c r="E87" s="98"/>
      <c r="F87" s="98"/>
      <c r="G87" s="98"/>
      <c r="H87" s="98"/>
      <c r="I87" s="98"/>
      <c r="J87" s="98"/>
      <c r="K87" s="98"/>
      <c r="L87" s="98"/>
      <c r="M87" s="98"/>
      <c r="N87" s="98"/>
      <c r="O87" s="98"/>
      <c r="P87" s="98"/>
      <c r="Q87" s="98"/>
      <c r="R87" s="98"/>
      <c r="S87" s="98"/>
      <c r="T87" s="98"/>
      <c r="U87" s="99" t="str">
        <f>Translation!$A$17</f>
        <v>[t CO2]</v>
      </c>
    </row>
    <row r="88" spans="2:21" s="55" customFormat="1" ht="33" customHeight="1">
      <c r="B88" s="321" t="str">
        <f>Translation!A56</f>
        <v>DEMAND SECTOR</v>
      </c>
      <c r="C88" s="297" t="str">
        <f>Translation!A93</f>
        <v>ENERGY FOR FINAL USE</v>
      </c>
      <c r="D88" s="298"/>
      <c r="E88" s="298"/>
      <c r="F88" s="298"/>
      <c r="G88" s="298"/>
      <c r="H88" s="298"/>
      <c r="I88" s="298"/>
      <c r="J88" s="298"/>
      <c r="K88" s="298"/>
      <c r="L88" s="298"/>
      <c r="M88" s="298"/>
      <c r="N88" s="298"/>
      <c r="O88" s="298"/>
      <c r="P88" s="298"/>
      <c r="Q88" s="298"/>
      <c r="R88" s="298"/>
      <c r="S88" s="298"/>
      <c r="T88" s="298"/>
      <c r="U88" s="299"/>
    </row>
    <row r="89" spans="2:21" s="55" customFormat="1" ht="18" customHeight="1">
      <c r="B89" s="322"/>
      <c r="C89" s="297" t="str">
        <f>Translation!A94</f>
        <v>Centralized energy services</v>
      </c>
      <c r="D89" s="298"/>
      <c r="E89" s="298"/>
      <c r="F89" s="299"/>
      <c r="G89" s="297" t="str">
        <f>Translation!A98</f>
        <v>Fossil fuels</v>
      </c>
      <c r="H89" s="298"/>
      <c r="I89" s="298"/>
      <c r="J89" s="298"/>
      <c r="K89" s="298"/>
      <c r="L89" s="298"/>
      <c r="M89" s="299"/>
      <c r="N89" s="297" t="str">
        <f>Translation!A105</f>
        <v>Renewable energy sources (excluding electricity and heat sold to public networks)</v>
      </c>
      <c r="O89" s="298"/>
      <c r="P89" s="298"/>
      <c r="Q89" s="298"/>
      <c r="R89" s="298"/>
      <c r="S89" s="298"/>
      <c r="T89" s="299"/>
      <c r="U89" s="313" t="str">
        <f>Translation!A118</f>
        <v>TOTAL</v>
      </c>
    </row>
    <row r="90" spans="2:21" s="55" customFormat="1" ht="67.5" customHeight="1">
      <c r="B90" s="65" t="str">
        <f>Translation!A58</f>
        <v>Sector description</v>
      </c>
      <c r="C90" s="111" t="str">
        <f>Translation!A95</f>
        <v>Electricity from public grid</v>
      </c>
      <c r="D90" s="111" t="str">
        <f>Translation!A96</f>
        <v>Heat from district heating</v>
      </c>
      <c r="E90" s="111" t="str">
        <f>Translation!A97</f>
        <v>Cold from district cooling</v>
      </c>
      <c r="F90" s="111" t="str">
        <f>Translation!A116</f>
        <v>Subtotal</v>
      </c>
      <c r="G90" s="111" t="str">
        <f>Translation!A99</f>
        <v>Fueloil</v>
      </c>
      <c r="H90" s="111" t="str">
        <f>Translation!A100</f>
        <v>Diesel</v>
      </c>
      <c r="I90" s="111" t="str">
        <f>Translation!A101</f>
        <v>Gasoline</v>
      </c>
      <c r="J90" s="111" t="str">
        <f>Translation!A102</f>
        <v>LPG</v>
      </c>
      <c r="K90" s="111" t="str">
        <f>Translation!A103</f>
        <v>Natural gas</v>
      </c>
      <c r="L90" s="111" t="str">
        <f>Translation!A104</f>
        <v>Coal</v>
      </c>
      <c r="M90" s="111" t="str">
        <f>Translation!A116</f>
        <v>Subtotal</v>
      </c>
      <c r="N90" s="111" t="str">
        <f>Translation!A108</f>
        <v>Hydro</v>
      </c>
      <c r="O90" s="111" t="str">
        <f>Translation!A109</f>
        <v>Wind</v>
      </c>
      <c r="P90" s="111" t="str">
        <f>Translation!A110</f>
        <v>Solar</v>
      </c>
      <c r="Q90" s="111" t="str">
        <f>Translation!A111</f>
        <v>Geothermal</v>
      </c>
      <c r="R90" s="111" t="str">
        <f>Translation!A112</f>
        <v>Ocean</v>
      </c>
      <c r="S90" s="111" t="str">
        <f>Translation!A113</f>
        <v>Biomass</v>
      </c>
      <c r="T90" s="111" t="str">
        <f>Translation!A116</f>
        <v>Subtotal</v>
      </c>
      <c r="U90" s="315"/>
    </row>
    <row r="91" spans="1:21" s="21" customFormat="1" ht="15.75">
      <c r="A91" s="22"/>
      <c r="B91" s="70" t="str">
        <f>Translation!A59</f>
        <v>RESIDENTIAL</v>
      </c>
      <c r="C91" s="68">
        <f>SUM(C92:C100)</f>
        <v>0</v>
      </c>
      <c r="D91" s="68">
        <f>SUM(D92:D100)</f>
        <v>0</v>
      </c>
      <c r="E91" s="68">
        <f>SUM(E92:E100)</f>
        <v>0</v>
      </c>
      <c r="F91" s="68">
        <f aca="true" t="shared" si="26" ref="F91:F122">SUM(C91:E91)</f>
        <v>0</v>
      </c>
      <c r="G91" s="68">
        <f aca="true" t="shared" si="27" ref="G91:L91">SUM(G92:G100)</f>
        <v>107.30452645852347</v>
      </c>
      <c r="H91" s="68">
        <f t="shared" si="27"/>
        <v>0</v>
      </c>
      <c r="I91" s="68">
        <f t="shared" si="27"/>
        <v>0</v>
      </c>
      <c r="J91" s="68">
        <f t="shared" si="27"/>
        <v>2.88</v>
      </c>
      <c r="K91" s="68">
        <f t="shared" si="27"/>
        <v>0</v>
      </c>
      <c r="L91" s="68">
        <f t="shared" si="27"/>
        <v>0</v>
      </c>
      <c r="M91" s="68">
        <f aca="true" t="shared" si="28" ref="M91:M122">SUM(G91:L91)</f>
        <v>110.18452645852346</v>
      </c>
      <c r="N91" s="68">
        <f aca="true" t="shared" si="29" ref="N91:S91">SUM(N92:N100)</f>
        <v>0</v>
      </c>
      <c r="O91" s="68">
        <f t="shared" si="29"/>
        <v>0</v>
      </c>
      <c r="P91" s="68">
        <f t="shared" si="29"/>
        <v>0</v>
      </c>
      <c r="Q91" s="68">
        <f t="shared" si="29"/>
        <v>0</v>
      </c>
      <c r="R91" s="68">
        <f t="shared" si="29"/>
        <v>0</v>
      </c>
      <c r="S91" s="68">
        <f t="shared" si="29"/>
        <v>0</v>
      </c>
      <c r="T91" s="68">
        <f aca="true" t="shared" si="30" ref="T91:T122">SUM(N91:S91)</f>
        <v>0</v>
      </c>
      <c r="U91" s="68">
        <f aca="true" t="shared" si="31" ref="U91:U122">F91+M91+T91</f>
        <v>110.18452645852346</v>
      </c>
    </row>
    <row r="92" spans="1:21" s="21" customFormat="1" ht="15.75">
      <c r="A92" s="22"/>
      <c r="B92" s="196" t="str">
        <f>Translation!A60</f>
        <v>Domestic uses</v>
      </c>
      <c r="C92" s="79">
        <f>IF(AND(C$48&gt;0,($S$128+$V$137)&gt;0),($S$128+$V$137)/C$48,0)*C18</f>
        <v>0</v>
      </c>
      <c r="D92" s="79">
        <f>IF(AND(D$48&gt;0,$S$129&gt;0),($S$129)/D$48,0)*D18</f>
        <v>0</v>
      </c>
      <c r="E92" s="79">
        <f>IF(AND(E$48&gt;0,$S$130&gt;0),($S$130)/E$48,0)*E18</f>
        <v>0</v>
      </c>
      <c r="F92" s="68">
        <f t="shared" si="26"/>
        <v>0</v>
      </c>
      <c r="G92" s="79">
        <f>'CO2 factors'!C$7*G18</f>
        <v>107.30452645852347</v>
      </c>
      <c r="H92" s="79">
        <f>'CO2 factors'!D$7*H18</f>
        <v>0</v>
      </c>
      <c r="I92" s="79">
        <f>'CO2 factors'!E$7*I18</f>
        <v>0</v>
      </c>
      <c r="J92" s="79">
        <f>'CO2 factors'!F$7*J18</f>
        <v>2.88</v>
      </c>
      <c r="K92" s="79">
        <f>'CO2 factors'!G$7*K18</f>
        <v>0</v>
      </c>
      <c r="L92" s="79">
        <f>'CO2 factors'!H$7*L18</f>
        <v>0</v>
      </c>
      <c r="M92" s="68">
        <f t="shared" si="28"/>
        <v>110.18452645852346</v>
      </c>
      <c r="N92" s="79">
        <f>'CO2 factors'!J$7*N18</f>
        <v>0</v>
      </c>
      <c r="O92" s="79">
        <f>'CO2 factors'!K$7*O18</f>
        <v>0</v>
      </c>
      <c r="P92" s="79">
        <f>'CO2 factors'!L$7*P18</f>
        <v>0</v>
      </c>
      <c r="Q92" s="79">
        <f>'CO2 factors'!M$7*Q18</f>
        <v>0</v>
      </c>
      <c r="R92" s="79">
        <f>'CO2 factors'!N$7*R18</f>
        <v>0</v>
      </c>
      <c r="S92" s="79">
        <f>'CO2 factors'!O$7*S18</f>
        <v>0</v>
      </c>
      <c r="T92" s="68">
        <f t="shared" si="30"/>
        <v>0</v>
      </c>
      <c r="U92" s="68">
        <f t="shared" si="31"/>
        <v>110.18452645852346</v>
      </c>
    </row>
    <row r="93" spans="1:21" s="21" customFormat="1" ht="15.75" hidden="1">
      <c r="A93" s="22"/>
      <c r="B93" s="196">
        <f>Translation!A61</f>
      </c>
      <c r="C93" s="79">
        <f aca="true" t="shared" si="32" ref="C93:C100">IF(AND(C$48&gt;0,($S$128+$V$137)&gt;0),($S$128+$V$137)/C$48,0)*C19</f>
        <v>0</v>
      </c>
      <c r="D93" s="79">
        <f aca="true" t="shared" si="33" ref="D93:D100">IF(AND(D$48&gt;0,$S$129&gt;0),($S$129)/D$48,0)*D19</f>
        <v>0</v>
      </c>
      <c r="E93" s="79">
        <f aca="true" t="shared" si="34" ref="E93:E100">IF(AND(E$48&gt;0,$S$130&gt;0),($S$130)/E$48,0)*E19</f>
        <v>0</v>
      </c>
      <c r="F93" s="68">
        <f t="shared" si="26"/>
        <v>0</v>
      </c>
      <c r="G93" s="79">
        <f>'CO2 factors'!C$7*G19</f>
        <v>0</v>
      </c>
      <c r="H93" s="79">
        <f>'CO2 factors'!D$7*H19</f>
        <v>0</v>
      </c>
      <c r="I93" s="79">
        <f>'CO2 factors'!E$7*I19</f>
        <v>0</v>
      </c>
      <c r="J93" s="79">
        <f>'CO2 factors'!F$7*J19</f>
        <v>0</v>
      </c>
      <c r="K93" s="79">
        <f>'CO2 factors'!G$7*K19</f>
        <v>0</v>
      </c>
      <c r="L93" s="79">
        <f>'CO2 factors'!H$7*L19</f>
        <v>0</v>
      </c>
      <c r="M93" s="68">
        <f t="shared" si="28"/>
        <v>0</v>
      </c>
      <c r="N93" s="79">
        <f>'CO2 factors'!J$7*N19</f>
        <v>0</v>
      </c>
      <c r="O93" s="79">
        <f>'CO2 factors'!K$7*O19</f>
        <v>0</v>
      </c>
      <c r="P93" s="79">
        <f>'CO2 factors'!L$7*P19</f>
        <v>0</v>
      </c>
      <c r="Q93" s="79">
        <f>'CO2 factors'!M$7*Q19</f>
        <v>0</v>
      </c>
      <c r="R93" s="79">
        <f>'CO2 factors'!N$7*R19</f>
        <v>0</v>
      </c>
      <c r="S93" s="79">
        <f>'CO2 factors'!O$7*S19</f>
        <v>0</v>
      </c>
      <c r="T93" s="68">
        <f t="shared" si="30"/>
        <v>0</v>
      </c>
      <c r="U93" s="68">
        <f t="shared" si="31"/>
        <v>0</v>
      </c>
    </row>
    <row r="94" spans="1:21" s="21" customFormat="1" ht="15.75" hidden="1">
      <c r="A94" s="22"/>
      <c r="B94" s="196">
        <f>Translation!A62</f>
      </c>
      <c r="C94" s="79">
        <f t="shared" si="32"/>
        <v>0</v>
      </c>
      <c r="D94" s="79">
        <f t="shared" si="33"/>
        <v>0</v>
      </c>
      <c r="E94" s="79">
        <f t="shared" si="34"/>
        <v>0</v>
      </c>
      <c r="F94" s="68">
        <f t="shared" si="26"/>
        <v>0</v>
      </c>
      <c r="G94" s="79">
        <f>'CO2 factors'!C$7*G20</f>
        <v>0</v>
      </c>
      <c r="H94" s="79">
        <f>'CO2 factors'!D$7*H20</f>
        <v>0</v>
      </c>
      <c r="I94" s="79">
        <f>'CO2 factors'!E$7*I20</f>
        <v>0</v>
      </c>
      <c r="J94" s="79">
        <f>'CO2 factors'!F$7*J20</f>
        <v>0</v>
      </c>
      <c r="K94" s="79">
        <f>'CO2 factors'!G$7*K20</f>
        <v>0</v>
      </c>
      <c r="L94" s="79">
        <f>'CO2 factors'!H$7*L20</f>
        <v>0</v>
      </c>
      <c r="M94" s="68">
        <f t="shared" si="28"/>
        <v>0</v>
      </c>
      <c r="N94" s="79">
        <f>'CO2 factors'!J$7*N20</f>
        <v>0</v>
      </c>
      <c r="O94" s="79">
        <f>'CO2 factors'!K$7*O20</f>
        <v>0</v>
      </c>
      <c r="P94" s="79">
        <f>'CO2 factors'!L$7*P20</f>
        <v>0</v>
      </c>
      <c r="Q94" s="79">
        <f>'CO2 factors'!M$7*Q20</f>
        <v>0</v>
      </c>
      <c r="R94" s="79">
        <f>'CO2 factors'!N$7*R20</f>
        <v>0</v>
      </c>
      <c r="S94" s="79">
        <f>'CO2 factors'!O$7*S20</f>
        <v>0</v>
      </c>
      <c r="T94" s="68">
        <f t="shared" si="30"/>
        <v>0</v>
      </c>
      <c r="U94" s="68">
        <f t="shared" si="31"/>
        <v>0</v>
      </c>
    </row>
    <row r="95" spans="1:21" s="21" customFormat="1" ht="15.75" hidden="1">
      <c r="A95" s="22"/>
      <c r="B95" s="196">
        <f>Translation!A63</f>
      </c>
      <c r="C95" s="79">
        <f t="shared" si="32"/>
        <v>0</v>
      </c>
      <c r="D95" s="79">
        <f t="shared" si="33"/>
        <v>0</v>
      </c>
      <c r="E95" s="79">
        <f t="shared" si="34"/>
        <v>0</v>
      </c>
      <c r="F95" s="68">
        <f t="shared" si="26"/>
        <v>0</v>
      </c>
      <c r="G95" s="79">
        <f>'CO2 factors'!C$7*G21</f>
        <v>0</v>
      </c>
      <c r="H95" s="79">
        <f>'CO2 factors'!D$7*H21</f>
        <v>0</v>
      </c>
      <c r="I95" s="79">
        <f>'CO2 factors'!E$7*I21</f>
        <v>0</v>
      </c>
      <c r="J95" s="79">
        <f>'CO2 factors'!F$7*J21</f>
        <v>0</v>
      </c>
      <c r="K95" s="79">
        <f>'CO2 factors'!G$7*K21</f>
        <v>0</v>
      </c>
      <c r="L95" s="79">
        <f>'CO2 factors'!H$7*L21</f>
        <v>0</v>
      </c>
      <c r="M95" s="68">
        <f t="shared" si="28"/>
        <v>0</v>
      </c>
      <c r="N95" s="79">
        <f>'CO2 factors'!J$7*N21</f>
        <v>0</v>
      </c>
      <c r="O95" s="79">
        <f>'CO2 factors'!K$7*O21</f>
        <v>0</v>
      </c>
      <c r="P95" s="79">
        <f>'CO2 factors'!L$7*P21</f>
        <v>0</v>
      </c>
      <c r="Q95" s="79">
        <f>'CO2 factors'!M$7*Q21</f>
        <v>0</v>
      </c>
      <c r="R95" s="79">
        <f>'CO2 factors'!N$7*R21</f>
        <v>0</v>
      </c>
      <c r="S95" s="79">
        <f>'CO2 factors'!O$7*S21</f>
        <v>0</v>
      </c>
      <c r="T95" s="68">
        <f t="shared" si="30"/>
        <v>0</v>
      </c>
      <c r="U95" s="68">
        <f t="shared" si="31"/>
        <v>0</v>
      </c>
    </row>
    <row r="96" spans="1:21" s="21" customFormat="1" ht="15.75" hidden="1">
      <c r="A96" s="22"/>
      <c r="B96" s="196">
        <f>Translation!A64</f>
      </c>
      <c r="C96" s="79">
        <f t="shared" si="32"/>
        <v>0</v>
      </c>
      <c r="D96" s="79">
        <f t="shared" si="33"/>
        <v>0</v>
      </c>
      <c r="E96" s="79">
        <f t="shared" si="34"/>
        <v>0</v>
      </c>
      <c r="F96" s="68">
        <f t="shared" si="26"/>
        <v>0</v>
      </c>
      <c r="G96" s="79">
        <f>'CO2 factors'!C$7*G22</f>
        <v>0</v>
      </c>
      <c r="H96" s="79">
        <f>'CO2 factors'!D$7*H22</f>
        <v>0</v>
      </c>
      <c r="I96" s="79">
        <f>'CO2 factors'!E$7*I22</f>
        <v>0</v>
      </c>
      <c r="J96" s="79">
        <f>'CO2 factors'!F$7*J22</f>
        <v>0</v>
      </c>
      <c r="K96" s="79">
        <f>'CO2 factors'!G$7*K22</f>
        <v>0</v>
      </c>
      <c r="L96" s="79">
        <f>'CO2 factors'!H$7*L22</f>
        <v>0</v>
      </c>
      <c r="M96" s="68">
        <f t="shared" si="28"/>
        <v>0</v>
      </c>
      <c r="N96" s="79">
        <f>'CO2 factors'!J$7*N22</f>
        <v>0</v>
      </c>
      <c r="O96" s="79">
        <f>'CO2 factors'!K$7*O22</f>
        <v>0</v>
      </c>
      <c r="P96" s="79">
        <f>'CO2 factors'!L$7*P22</f>
        <v>0</v>
      </c>
      <c r="Q96" s="79">
        <f>'CO2 factors'!M$7*Q22</f>
        <v>0</v>
      </c>
      <c r="R96" s="79">
        <f>'CO2 factors'!N$7*R22</f>
        <v>0</v>
      </c>
      <c r="S96" s="79">
        <f>'CO2 factors'!O$7*S22</f>
        <v>0</v>
      </c>
      <c r="T96" s="68">
        <f t="shared" si="30"/>
        <v>0</v>
      </c>
      <c r="U96" s="68">
        <f t="shared" si="31"/>
        <v>0</v>
      </c>
    </row>
    <row r="97" spans="1:21" s="21" customFormat="1" ht="15.75" hidden="1">
      <c r="A97" s="22"/>
      <c r="B97" s="196">
        <f>Translation!A65</f>
      </c>
      <c r="C97" s="79">
        <f t="shared" si="32"/>
        <v>0</v>
      </c>
      <c r="D97" s="79">
        <f t="shared" si="33"/>
        <v>0</v>
      </c>
      <c r="E97" s="79">
        <f t="shared" si="34"/>
        <v>0</v>
      </c>
      <c r="F97" s="68">
        <f t="shared" si="26"/>
        <v>0</v>
      </c>
      <c r="G97" s="79">
        <f>'CO2 factors'!C$7*G23</f>
        <v>0</v>
      </c>
      <c r="H97" s="79">
        <f>'CO2 factors'!D$7*H23</f>
        <v>0</v>
      </c>
      <c r="I97" s="79">
        <f>'CO2 factors'!E$7*I23</f>
        <v>0</v>
      </c>
      <c r="J97" s="79">
        <f>'CO2 factors'!F$7*J23</f>
        <v>0</v>
      </c>
      <c r="K97" s="79">
        <f>'CO2 factors'!G$7*K23</f>
        <v>0</v>
      </c>
      <c r="L97" s="79">
        <f>'CO2 factors'!H$7*L23</f>
        <v>0</v>
      </c>
      <c r="M97" s="68">
        <f t="shared" si="28"/>
        <v>0</v>
      </c>
      <c r="N97" s="79">
        <f>'CO2 factors'!J$7*N23</f>
        <v>0</v>
      </c>
      <c r="O97" s="79">
        <f>'CO2 factors'!K$7*O23</f>
        <v>0</v>
      </c>
      <c r="P97" s="79">
        <f>'CO2 factors'!L$7*P23</f>
        <v>0</v>
      </c>
      <c r="Q97" s="79">
        <f>'CO2 factors'!M$7*Q23</f>
        <v>0</v>
      </c>
      <c r="R97" s="79">
        <f>'CO2 factors'!N$7*R23</f>
        <v>0</v>
      </c>
      <c r="S97" s="79">
        <f>'CO2 factors'!O$7*S23</f>
        <v>0</v>
      </c>
      <c r="T97" s="68">
        <f t="shared" si="30"/>
        <v>0</v>
      </c>
      <c r="U97" s="68">
        <f t="shared" si="31"/>
        <v>0</v>
      </c>
    </row>
    <row r="98" spans="1:21" s="21" customFormat="1" ht="15.75" hidden="1">
      <c r="A98" s="22"/>
      <c r="B98" s="196">
        <f>Translation!A66</f>
      </c>
      <c r="C98" s="79">
        <f t="shared" si="32"/>
        <v>0</v>
      </c>
      <c r="D98" s="79">
        <f t="shared" si="33"/>
        <v>0</v>
      </c>
      <c r="E98" s="79">
        <f t="shared" si="34"/>
        <v>0</v>
      </c>
      <c r="F98" s="68">
        <f t="shared" si="26"/>
        <v>0</v>
      </c>
      <c r="G98" s="79">
        <f>'CO2 factors'!C$7*G24</f>
        <v>0</v>
      </c>
      <c r="H98" s="79">
        <f>'CO2 factors'!D$7*H24</f>
        <v>0</v>
      </c>
      <c r="I98" s="79">
        <f>'CO2 factors'!E$7*I24</f>
        <v>0</v>
      </c>
      <c r="J98" s="79">
        <f>'CO2 factors'!F$7*J24</f>
        <v>0</v>
      </c>
      <c r="K98" s="79">
        <f>'CO2 factors'!G$7*K24</f>
        <v>0</v>
      </c>
      <c r="L98" s="79">
        <f>'CO2 factors'!H$7*L24</f>
        <v>0</v>
      </c>
      <c r="M98" s="68">
        <f t="shared" si="28"/>
        <v>0</v>
      </c>
      <c r="N98" s="79">
        <f>'CO2 factors'!J$7*N24</f>
        <v>0</v>
      </c>
      <c r="O98" s="79">
        <f>'CO2 factors'!K$7*O24</f>
        <v>0</v>
      </c>
      <c r="P98" s="79">
        <f>'CO2 factors'!L$7*P24</f>
        <v>0</v>
      </c>
      <c r="Q98" s="79">
        <f>'CO2 factors'!M$7*Q24</f>
        <v>0</v>
      </c>
      <c r="R98" s="79">
        <f>'CO2 factors'!N$7*R24</f>
        <v>0</v>
      </c>
      <c r="S98" s="79">
        <f>'CO2 factors'!O$7*S24</f>
        <v>0</v>
      </c>
      <c r="T98" s="68">
        <f t="shared" si="30"/>
        <v>0</v>
      </c>
      <c r="U98" s="68">
        <f t="shared" si="31"/>
        <v>0</v>
      </c>
    </row>
    <row r="99" spans="1:21" s="21" customFormat="1" ht="15.75" hidden="1">
      <c r="A99" s="22"/>
      <c r="B99" s="196">
        <f>Translation!A67</f>
      </c>
      <c r="C99" s="79">
        <f t="shared" si="32"/>
        <v>0</v>
      </c>
      <c r="D99" s="79">
        <f t="shared" si="33"/>
        <v>0</v>
      </c>
      <c r="E99" s="79">
        <f t="shared" si="34"/>
        <v>0</v>
      </c>
      <c r="F99" s="68">
        <f t="shared" si="26"/>
        <v>0</v>
      </c>
      <c r="G99" s="79">
        <f>'CO2 factors'!C$7*G25</f>
        <v>0</v>
      </c>
      <c r="H99" s="79">
        <f>'CO2 factors'!D$7*H25</f>
        <v>0</v>
      </c>
      <c r="I99" s="79">
        <f>'CO2 factors'!E$7*I25</f>
        <v>0</v>
      </c>
      <c r="J99" s="79">
        <f>'CO2 factors'!F$7*J25</f>
        <v>0</v>
      </c>
      <c r="K99" s="79">
        <f>'CO2 factors'!G$7*K25</f>
        <v>0</v>
      </c>
      <c r="L99" s="79">
        <f>'CO2 factors'!H$7*L25</f>
        <v>0</v>
      </c>
      <c r="M99" s="68">
        <f t="shared" si="28"/>
        <v>0</v>
      </c>
      <c r="N99" s="79">
        <f>'CO2 factors'!J$7*N25</f>
        <v>0</v>
      </c>
      <c r="O99" s="79">
        <f>'CO2 factors'!K$7*O25</f>
        <v>0</v>
      </c>
      <c r="P99" s="79">
        <f>'CO2 factors'!L$7*P25</f>
        <v>0</v>
      </c>
      <c r="Q99" s="79">
        <f>'CO2 factors'!M$7*Q25</f>
        <v>0</v>
      </c>
      <c r="R99" s="79">
        <f>'CO2 factors'!N$7*R25</f>
        <v>0</v>
      </c>
      <c r="S99" s="79">
        <f>'CO2 factors'!O$7*S25</f>
        <v>0</v>
      </c>
      <c r="T99" s="68">
        <f t="shared" si="30"/>
        <v>0</v>
      </c>
      <c r="U99" s="68">
        <f t="shared" si="31"/>
        <v>0</v>
      </c>
    </row>
    <row r="100" spans="1:21" s="21" customFormat="1" ht="15.75" hidden="1">
      <c r="A100" s="22"/>
      <c r="B100" s="196">
        <f>Translation!A68</f>
      </c>
      <c r="C100" s="79">
        <f t="shared" si="32"/>
        <v>0</v>
      </c>
      <c r="D100" s="79">
        <f t="shared" si="33"/>
        <v>0</v>
      </c>
      <c r="E100" s="79">
        <f t="shared" si="34"/>
        <v>0</v>
      </c>
      <c r="F100" s="68">
        <f t="shared" si="26"/>
        <v>0</v>
      </c>
      <c r="G100" s="79">
        <f>'CO2 factors'!C$7*G26</f>
        <v>0</v>
      </c>
      <c r="H100" s="79">
        <f>'CO2 factors'!D$7*H26</f>
        <v>0</v>
      </c>
      <c r="I100" s="79">
        <f>'CO2 factors'!E$7*I26</f>
        <v>0</v>
      </c>
      <c r="J100" s="79">
        <f>'CO2 factors'!F$7*J26</f>
        <v>0</v>
      </c>
      <c r="K100" s="79">
        <f>'CO2 factors'!G$7*K26</f>
        <v>0</v>
      </c>
      <c r="L100" s="79">
        <f>'CO2 factors'!H$7*L26</f>
        <v>0</v>
      </c>
      <c r="M100" s="68">
        <f t="shared" si="28"/>
        <v>0</v>
      </c>
      <c r="N100" s="79">
        <f>'CO2 factors'!J$7*N26</f>
        <v>0</v>
      </c>
      <c r="O100" s="79">
        <f>'CO2 factors'!K$7*O26</f>
        <v>0</v>
      </c>
      <c r="P100" s="79">
        <f>'CO2 factors'!L$7*P26</f>
        <v>0</v>
      </c>
      <c r="Q100" s="79">
        <f>'CO2 factors'!M$7*Q26</f>
        <v>0</v>
      </c>
      <c r="R100" s="79">
        <f>'CO2 factors'!N$7*R26</f>
        <v>0</v>
      </c>
      <c r="S100" s="79">
        <f>'CO2 factors'!O$7*S26</f>
        <v>0</v>
      </c>
      <c r="T100" s="68">
        <f t="shared" si="30"/>
        <v>0</v>
      </c>
      <c r="U100" s="68">
        <f t="shared" si="31"/>
        <v>0</v>
      </c>
    </row>
    <row r="101" spans="1:21" s="21" customFormat="1" ht="15.75">
      <c r="A101" s="22"/>
      <c r="B101" s="70" t="str">
        <f>Translation!A69</f>
        <v>PRIMARY SECTOR</v>
      </c>
      <c r="C101" s="68">
        <f>SUM(C102:C103)</f>
        <v>0</v>
      </c>
      <c r="D101" s="68">
        <f>SUM(D102:D103)</f>
        <v>0</v>
      </c>
      <c r="E101" s="68">
        <f>SUM(E102:E103)</f>
        <v>0</v>
      </c>
      <c r="F101" s="68">
        <f t="shared" si="26"/>
        <v>0</v>
      </c>
      <c r="G101" s="68">
        <f aca="true" t="shared" si="35" ref="G101:L101">SUM(G102:G103)</f>
        <v>0</v>
      </c>
      <c r="H101" s="68">
        <f t="shared" si="35"/>
        <v>1377.1860000000001</v>
      </c>
      <c r="I101" s="68">
        <f t="shared" si="35"/>
        <v>0</v>
      </c>
      <c r="J101" s="68">
        <f t="shared" si="35"/>
        <v>0</v>
      </c>
      <c r="K101" s="68">
        <f t="shared" si="35"/>
        <v>0</v>
      </c>
      <c r="L101" s="68">
        <f t="shared" si="35"/>
        <v>0</v>
      </c>
      <c r="M101" s="68">
        <f t="shared" si="28"/>
        <v>1377.1860000000001</v>
      </c>
      <c r="N101" s="68">
        <f aca="true" t="shared" si="36" ref="N101:S101">SUM(N102:N103)</f>
        <v>0</v>
      </c>
      <c r="O101" s="68">
        <f t="shared" si="36"/>
        <v>0</v>
      </c>
      <c r="P101" s="68">
        <f t="shared" si="36"/>
        <v>0</v>
      </c>
      <c r="Q101" s="68">
        <f t="shared" si="36"/>
        <v>0</v>
      </c>
      <c r="R101" s="68">
        <f t="shared" si="36"/>
        <v>0</v>
      </c>
      <c r="S101" s="68">
        <f t="shared" si="36"/>
        <v>0</v>
      </c>
      <c r="T101" s="68">
        <f t="shared" si="30"/>
        <v>0</v>
      </c>
      <c r="U101" s="68">
        <f t="shared" si="31"/>
        <v>1377.1860000000001</v>
      </c>
    </row>
    <row r="102" spans="1:21" s="21" customFormat="1" ht="15.75">
      <c r="A102" s="22"/>
      <c r="B102" s="197" t="str">
        <f>Translation!A70</f>
        <v>Agriculture, forestry and fishing</v>
      </c>
      <c r="C102" s="79">
        <f>IF(AND(C$48&gt;0,($S$128+$V$137)&gt;0),($S$128+$V$137)/C$48,0)*C28</f>
        <v>0</v>
      </c>
      <c r="D102" s="79">
        <f>IF(AND(D$48&gt;0,$S$129&gt;0),($S$129)/D$48,0)*D28</f>
        <v>0</v>
      </c>
      <c r="E102" s="79">
        <f>IF(AND(E$48&gt;0,$S$130&gt;0),($S$130)/E$48,0)*E28</f>
        <v>0</v>
      </c>
      <c r="F102" s="68">
        <f t="shared" si="26"/>
        <v>0</v>
      </c>
      <c r="G102" s="79">
        <f>'CO2 factors'!C$7*G28</f>
        <v>0</v>
      </c>
      <c r="H102" s="79">
        <f>'CO2 factors'!D$7*H28</f>
        <v>1377.1860000000001</v>
      </c>
      <c r="I102" s="79">
        <f>'CO2 factors'!E$7*I28</f>
        <v>0</v>
      </c>
      <c r="J102" s="79">
        <f>'CO2 factors'!F$7*J28</f>
        <v>0</v>
      </c>
      <c r="K102" s="79">
        <f>'CO2 factors'!G$7*K28</f>
        <v>0</v>
      </c>
      <c r="L102" s="79">
        <f>'CO2 factors'!H$7*L28</f>
        <v>0</v>
      </c>
      <c r="M102" s="68">
        <f t="shared" si="28"/>
        <v>1377.1860000000001</v>
      </c>
      <c r="N102" s="79">
        <f>'CO2 factors'!J$7*N28</f>
        <v>0</v>
      </c>
      <c r="O102" s="79">
        <f>'CO2 factors'!K$7*O28</f>
        <v>0</v>
      </c>
      <c r="P102" s="79">
        <f>'CO2 factors'!L$7*P28</f>
        <v>0</v>
      </c>
      <c r="Q102" s="79">
        <f>'CO2 factors'!M$7*Q28</f>
        <v>0</v>
      </c>
      <c r="R102" s="79">
        <f>'CO2 factors'!N$7*R28</f>
        <v>0</v>
      </c>
      <c r="S102" s="79">
        <f>'CO2 factors'!O$7*S28</f>
        <v>0</v>
      </c>
      <c r="T102" s="68">
        <f t="shared" si="30"/>
        <v>0</v>
      </c>
      <c r="U102" s="68">
        <f t="shared" si="31"/>
        <v>1377.1860000000001</v>
      </c>
    </row>
    <row r="103" spans="1:21" s="21" customFormat="1" ht="15.75">
      <c r="A103" s="22"/>
      <c r="B103" s="197" t="str">
        <f>Translation!A71</f>
        <v>Mining and quarrying</v>
      </c>
      <c r="C103" s="79">
        <f>IF(AND(C$48&gt;0,($S$128+$V$137)&gt;0),($S$128+$V$137)/C$48,0)*C29</f>
        <v>0</v>
      </c>
      <c r="D103" s="79">
        <f>IF(AND(D$48&gt;0,$S$129&gt;0),($S$129)/D$48,0)*D29</f>
        <v>0</v>
      </c>
      <c r="E103" s="79">
        <f>IF(AND(E$48&gt;0,$S$130&gt;0),($S$130)/E$48,0)*E29</f>
        <v>0</v>
      </c>
      <c r="F103" s="68">
        <f t="shared" si="26"/>
        <v>0</v>
      </c>
      <c r="G103" s="79">
        <f>'CO2 factors'!C$7*G29</f>
        <v>0</v>
      </c>
      <c r="H103" s="79">
        <f>'CO2 factors'!D$7*H29</f>
        <v>0</v>
      </c>
      <c r="I103" s="79">
        <f>'CO2 factors'!E$7*I29</f>
        <v>0</v>
      </c>
      <c r="J103" s="79">
        <f>'CO2 factors'!F$7*J29</f>
        <v>0</v>
      </c>
      <c r="K103" s="79">
        <f>'CO2 factors'!G$7*K29</f>
        <v>0</v>
      </c>
      <c r="L103" s="79">
        <f>'CO2 factors'!H$7*L29</f>
        <v>0</v>
      </c>
      <c r="M103" s="68">
        <f t="shared" si="28"/>
        <v>0</v>
      </c>
      <c r="N103" s="79">
        <f>'CO2 factors'!J$7*N29</f>
        <v>0</v>
      </c>
      <c r="O103" s="79">
        <f>'CO2 factors'!K$7*O29</f>
        <v>0</v>
      </c>
      <c r="P103" s="79">
        <f>'CO2 factors'!L$7*P29</f>
        <v>0</v>
      </c>
      <c r="Q103" s="79">
        <f>'CO2 factors'!M$7*Q29</f>
        <v>0</v>
      </c>
      <c r="R103" s="79">
        <f>'CO2 factors'!N$7*R29</f>
        <v>0</v>
      </c>
      <c r="S103" s="79">
        <f>'CO2 factors'!O$7*S29</f>
        <v>0</v>
      </c>
      <c r="T103" s="68">
        <f t="shared" si="30"/>
        <v>0</v>
      </c>
      <c r="U103" s="68">
        <f t="shared" si="31"/>
        <v>0</v>
      </c>
    </row>
    <row r="104" spans="1:21" s="21" customFormat="1" ht="15.75">
      <c r="A104" s="22"/>
      <c r="B104" s="65" t="str">
        <f>Translation!A72</f>
        <v>SECONDARY SECTOR</v>
      </c>
      <c r="C104" s="68">
        <f>SUM(C105:C107)</f>
        <v>0</v>
      </c>
      <c r="D104" s="68">
        <f>SUM(D105:D107)</f>
        <v>0</v>
      </c>
      <c r="E104" s="68">
        <f>SUM(E105:E107)</f>
        <v>0</v>
      </c>
      <c r="F104" s="68">
        <f t="shared" si="26"/>
        <v>0</v>
      </c>
      <c r="G104" s="68">
        <f aca="true" t="shared" si="37" ref="G104:L104">SUM(G105:G107)</f>
        <v>0</v>
      </c>
      <c r="H104" s="68">
        <f t="shared" si="37"/>
        <v>0</v>
      </c>
      <c r="I104" s="68">
        <f t="shared" si="37"/>
        <v>0</v>
      </c>
      <c r="J104" s="68">
        <f t="shared" si="37"/>
        <v>0</v>
      </c>
      <c r="K104" s="68">
        <f t="shared" si="37"/>
        <v>0</v>
      </c>
      <c r="L104" s="68">
        <f t="shared" si="37"/>
        <v>0</v>
      </c>
      <c r="M104" s="68">
        <f t="shared" si="28"/>
        <v>0</v>
      </c>
      <c r="N104" s="68">
        <f aca="true" t="shared" si="38" ref="N104:S104">SUM(N105:N107)</f>
        <v>0</v>
      </c>
      <c r="O104" s="68">
        <f t="shared" si="38"/>
        <v>0</v>
      </c>
      <c r="P104" s="68">
        <f t="shared" si="38"/>
        <v>0</v>
      </c>
      <c r="Q104" s="68">
        <f t="shared" si="38"/>
        <v>0</v>
      </c>
      <c r="R104" s="68">
        <f t="shared" si="38"/>
        <v>0</v>
      </c>
      <c r="S104" s="68">
        <f t="shared" si="38"/>
        <v>0</v>
      </c>
      <c r="T104" s="68">
        <f t="shared" si="30"/>
        <v>0</v>
      </c>
      <c r="U104" s="68">
        <f t="shared" si="31"/>
        <v>0</v>
      </c>
    </row>
    <row r="105" spans="1:21" s="21" customFormat="1" ht="15.75">
      <c r="A105" s="22"/>
      <c r="B105" s="197" t="str">
        <f>Translation!A73</f>
        <v>Manufacturing</v>
      </c>
      <c r="C105" s="79">
        <f>IF(AND(C$48&gt;0,($S$128+$V$137)&gt;0),($S$128+$V$137)/C$48,0)*C31</f>
        <v>0</v>
      </c>
      <c r="D105" s="79">
        <f>IF(AND(D$48&gt;0,$S$129&gt;0),($S$129)/D$48,0)*D31</f>
        <v>0</v>
      </c>
      <c r="E105" s="79">
        <f>IF(AND(E$48&gt;0,$S$130&gt;0),($S$130)/E$48,0)*E31</f>
        <v>0</v>
      </c>
      <c r="F105" s="68">
        <f t="shared" si="26"/>
        <v>0</v>
      </c>
      <c r="G105" s="79">
        <f>'CO2 factors'!C$7*G31</f>
        <v>0</v>
      </c>
      <c r="H105" s="79">
        <f>'CO2 factors'!D$7*H31</f>
        <v>0</v>
      </c>
      <c r="I105" s="79">
        <f>'CO2 factors'!E$7*I31</f>
        <v>0</v>
      </c>
      <c r="J105" s="79">
        <f>'CO2 factors'!F$7*J31</f>
        <v>0</v>
      </c>
      <c r="K105" s="79">
        <f>'CO2 factors'!G$7*K31</f>
        <v>0</v>
      </c>
      <c r="L105" s="79">
        <f>'CO2 factors'!H$7*L31</f>
        <v>0</v>
      </c>
      <c r="M105" s="68">
        <f t="shared" si="28"/>
        <v>0</v>
      </c>
      <c r="N105" s="79">
        <f>'CO2 factors'!J$7*N31</f>
        <v>0</v>
      </c>
      <c r="O105" s="79">
        <f>'CO2 factors'!K$7*O31</f>
        <v>0</v>
      </c>
      <c r="P105" s="79">
        <f>'CO2 factors'!L$7*P31</f>
        <v>0</v>
      </c>
      <c r="Q105" s="79">
        <f>'CO2 factors'!M$7*Q31</f>
        <v>0</v>
      </c>
      <c r="R105" s="79">
        <f>'CO2 factors'!N$7*R31</f>
        <v>0</v>
      </c>
      <c r="S105" s="79">
        <f>'CO2 factors'!O$7*S31</f>
        <v>0</v>
      </c>
      <c r="T105" s="68">
        <f t="shared" si="30"/>
        <v>0</v>
      </c>
      <c r="U105" s="68">
        <f t="shared" si="31"/>
        <v>0</v>
      </c>
    </row>
    <row r="106" spans="1:21" s="21" customFormat="1" ht="30">
      <c r="A106" s="22"/>
      <c r="B106" s="197" t="str">
        <f>Translation!A74</f>
        <v>Water supply, sewerage, waste management and remediation activities</v>
      </c>
      <c r="C106" s="79">
        <f>IF(AND(C$48&gt;0,($S$128+$V$137)&gt;0),($S$128+$V$137)/C$48,0)*C32</f>
        <v>0</v>
      </c>
      <c r="D106" s="79">
        <f>IF(AND(D$48&gt;0,$S$129&gt;0),($S$129)/D$48,0)*D32</f>
        <v>0</v>
      </c>
      <c r="E106" s="79">
        <f>IF(AND(E$48&gt;0,$S$130&gt;0),($S$130)/E$48,0)*E32</f>
        <v>0</v>
      </c>
      <c r="F106" s="68">
        <f t="shared" si="26"/>
        <v>0</v>
      </c>
      <c r="G106" s="79">
        <f>'CO2 factors'!C$7*G32</f>
        <v>0</v>
      </c>
      <c r="H106" s="79">
        <f>'CO2 factors'!D$7*H32</f>
        <v>0</v>
      </c>
      <c r="I106" s="79">
        <f>'CO2 factors'!E$7*I32</f>
        <v>0</v>
      </c>
      <c r="J106" s="79">
        <f>'CO2 factors'!F$7*J32</f>
        <v>0</v>
      </c>
      <c r="K106" s="79">
        <f>'CO2 factors'!G$7*K32</f>
        <v>0</v>
      </c>
      <c r="L106" s="79">
        <f>'CO2 factors'!H$7*L32</f>
        <v>0</v>
      </c>
      <c r="M106" s="68">
        <f t="shared" si="28"/>
        <v>0</v>
      </c>
      <c r="N106" s="79">
        <f>'CO2 factors'!J$7*N32</f>
        <v>0</v>
      </c>
      <c r="O106" s="79">
        <f>'CO2 factors'!K$7*O32</f>
        <v>0</v>
      </c>
      <c r="P106" s="79">
        <f>'CO2 factors'!L$7*P32</f>
        <v>0</v>
      </c>
      <c r="Q106" s="79">
        <f>'CO2 factors'!M$7*Q32</f>
        <v>0</v>
      </c>
      <c r="R106" s="79">
        <f>'CO2 factors'!N$7*R32</f>
        <v>0</v>
      </c>
      <c r="S106" s="79">
        <f>'CO2 factors'!O$7*S32</f>
        <v>0</v>
      </c>
      <c r="T106" s="68">
        <f t="shared" si="30"/>
        <v>0</v>
      </c>
      <c r="U106" s="68">
        <f t="shared" si="31"/>
        <v>0</v>
      </c>
    </row>
    <row r="107" spans="1:21" s="21" customFormat="1" ht="15.75">
      <c r="A107" s="22"/>
      <c r="B107" s="197" t="str">
        <f>Translation!A75</f>
        <v>Construction</v>
      </c>
      <c r="C107" s="79">
        <f>IF(AND(C$48&gt;0,($S$128+$V$137)&gt;0),($S$128+$V$137)/C$48,0)*C33</f>
        <v>0</v>
      </c>
      <c r="D107" s="79">
        <f>IF(AND(D$48&gt;0,$S$129&gt;0),($S$129)/D$48,0)*D33</f>
        <v>0</v>
      </c>
      <c r="E107" s="79">
        <f>IF(AND(E$48&gt;0,$S$130&gt;0),($S$130)/E$48,0)*E33</f>
        <v>0</v>
      </c>
      <c r="F107" s="68">
        <f t="shared" si="26"/>
        <v>0</v>
      </c>
      <c r="G107" s="79">
        <f>'CO2 factors'!C$7*G33</f>
        <v>0</v>
      </c>
      <c r="H107" s="79">
        <f>'CO2 factors'!D$7*H33</f>
        <v>0</v>
      </c>
      <c r="I107" s="79">
        <f>'CO2 factors'!E$7*I33</f>
        <v>0</v>
      </c>
      <c r="J107" s="79">
        <f>'CO2 factors'!F$7*J33</f>
        <v>0</v>
      </c>
      <c r="K107" s="79">
        <f>'CO2 factors'!G$7*K33</f>
        <v>0</v>
      </c>
      <c r="L107" s="79">
        <f>'CO2 factors'!H$7*L33</f>
        <v>0</v>
      </c>
      <c r="M107" s="68">
        <f t="shared" si="28"/>
        <v>0</v>
      </c>
      <c r="N107" s="79">
        <f>'CO2 factors'!J$7*N33</f>
        <v>0</v>
      </c>
      <c r="O107" s="79">
        <f>'CO2 factors'!K$7*O33</f>
        <v>0</v>
      </c>
      <c r="P107" s="79">
        <f>'CO2 factors'!L$7*P33</f>
        <v>0</v>
      </c>
      <c r="Q107" s="79">
        <f>'CO2 factors'!M$7*Q33</f>
        <v>0</v>
      </c>
      <c r="R107" s="79">
        <f>'CO2 factors'!N$7*R33</f>
        <v>0</v>
      </c>
      <c r="S107" s="79">
        <f>'CO2 factors'!O$7*S33</f>
        <v>0</v>
      </c>
      <c r="T107" s="68">
        <f t="shared" si="30"/>
        <v>0</v>
      </c>
      <c r="U107" s="68">
        <f t="shared" si="31"/>
        <v>0</v>
      </c>
    </row>
    <row r="108" spans="1:21" s="21" customFormat="1" ht="15.75">
      <c r="A108" s="22"/>
      <c r="B108" s="65" t="str">
        <f>Translation!A76</f>
        <v>TERTIARY SECTOR</v>
      </c>
      <c r="C108" s="68">
        <f>SUM(C109:C116)</f>
        <v>0</v>
      </c>
      <c r="D108" s="68">
        <f>SUM(D109:D116)</f>
        <v>0</v>
      </c>
      <c r="E108" s="68">
        <f>SUM(E109:E116)</f>
        <v>0</v>
      </c>
      <c r="F108" s="68">
        <f t="shared" si="26"/>
        <v>0</v>
      </c>
      <c r="G108" s="68">
        <f aca="true" t="shared" si="39" ref="G108:L108">SUM(G109:G116)</f>
        <v>0</v>
      </c>
      <c r="H108" s="68">
        <f t="shared" si="39"/>
        <v>0</v>
      </c>
      <c r="I108" s="68">
        <f t="shared" si="39"/>
        <v>0</v>
      </c>
      <c r="J108" s="68">
        <f t="shared" si="39"/>
        <v>0</v>
      </c>
      <c r="K108" s="68">
        <f t="shared" si="39"/>
        <v>0</v>
      </c>
      <c r="L108" s="68">
        <f t="shared" si="39"/>
        <v>0</v>
      </c>
      <c r="M108" s="68">
        <f t="shared" si="28"/>
        <v>0</v>
      </c>
      <c r="N108" s="68">
        <f aca="true" t="shared" si="40" ref="N108:S108">SUM(N109:N116)</f>
        <v>0</v>
      </c>
      <c r="O108" s="68">
        <f t="shared" si="40"/>
        <v>0</v>
      </c>
      <c r="P108" s="68">
        <f t="shared" si="40"/>
        <v>0</v>
      </c>
      <c r="Q108" s="68">
        <f t="shared" si="40"/>
        <v>0</v>
      </c>
      <c r="R108" s="68">
        <f t="shared" si="40"/>
        <v>0</v>
      </c>
      <c r="S108" s="68">
        <f t="shared" si="40"/>
        <v>0</v>
      </c>
      <c r="T108" s="68">
        <f t="shared" si="30"/>
        <v>0</v>
      </c>
      <c r="U108" s="68">
        <f t="shared" si="31"/>
        <v>0</v>
      </c>
    </row>
    <row r="109" spans="1:21" s="21" customFormat="1" ht="15.75">
      <c r="A109" s="22"/>
      <c r="B109" s="197" t="str">
        <f>Translation!A77</f>
        <v>Trade, service and tourism</v>
      </c>
      <c r="C109" s="79">
        <f aca="true" t="shared" si="41" ref="C109:C116">IF(AND(C$48&gt;0,($S$128+$V$137)&gt;0),($S$128+$V$137)/C$48,0)*C35</f>
        <v>0</v>
      </c>
      <c r="D109" s="79">
        <f aca="true" t="shared" si="42" ref="D109:D116">IF(AND(D$48&gt;0,$S$129&gt;0),($S$129)/D$48,0)*D35</f>
        <v>0</v>
      </c>
      <c r="E109" s="79">
        <f aca="true" t="shared" si="43" ref="E109:E116">IF(AND(E$48&gt;0,$S$130&gt;0),($S$130)/E$48,0)*E35</f>
        <v>0</v>
      </c>
      <c r="F109" s="68">
        <f t="shared" si="26"/>
        <v>0</v>
      </c>
      <c r="G109" s="79">
        <f>'CO2 factors'!C$7*G35</f>
        <v>0</v>
      </c>
      <c r="H109" s="79">
        <f>'CO2 factors'!D$7*H35</f>
        <v>0</v>
      </c>
      <c r="I109" s="79">
        <f>'CO2 factors'!E$7*I35</f>
        <v>0</v>
      </c>
      <c r="J109" s="79">
        <f>'CO2 factors'!F$7*J35</f>
        <v>0</v>
      </c>
      <c r="K109" s="79">
        <f>'CO2 factors'!G$7*K35</f>
        <v>0</v>
      </c>
      <c r="L109" s="79">
        <f>'CO2 factors'!H$7*L35</f>
        <v>0</v>
      </c>
      <c r="M109" s="68">
        <f t="shared" si="28"/>
        <v>0</v>
      </c>
      <c r="N109" s="79">
        <f>'CO2 factors'!J$7*N35</f>
        <v>0</v>
      </c>
      <c r="O109" s="79">
        <f>'CO2 factors'!K$7*O35</f>
        <v>0</v>
      </c>
      <c r="P109" s="79">
        <f>'CO2 factors'!L$7*P35</f>
        <v>0</v>
      </c>
      <c r="Q109" s="79">
        <f>'CO2 factors'!M$7*Q35</f>
        <v>0</v>
      </c>
      <c r="R109" s="79">
        <f>'CO2 factors'!N$7*R35</f>
        <v>0</v>
      </c>
      <c r="S109" s="79">
        <f>'CO2 factors'!O$7*S35</f>
        <v>0</v>
      </c>
      <c r="T109" s="68">
        <f t="shared" si="30"/>
        <v>0</v>
      </c>
      <c r="U109" s="68">
        <f t="shared" si="31"/>
        <v>0</v>
      </c>
    </row>
    <row r="110" spans="1:21" s="21" customFormat="1" ht="15.75">
      <c r="A110" s="22"/>
      <c r="B110" s="197" t="str">
        <f>Translation!A78</f>
        <v>Public administration, schools and kindergardens</v>
      </c>
      <c r="C110" s="79">
        <f t="shared" si="41"/>
        <v>0</v>
      </c>
      <c r="D110" s="79">
        <f t="shared" si="42"/>
        <v>0</v>
      </c>
      <c r="E110" s="79">
        <f t="shared" si="43"/>
        <v>0</v>
      </c>
      <c r="F110" s="68">
        <f t="shared" si="26"/>
        <v>0</v>
      </c>
      <c r="G110" s="79">
        <f>'CO2 factors'!C$7*G36</f>
        <v>0</v>
      </c>
      <c r="H110" s="79">
        <f>'CO2 factors'!D$7*H36</f>
        <v>0</v>
      </c>
      <c r="I110" s="79">
        <f>'CO2 factors'!E$7*I36</f>
        <v>0</v>
      </c>
      <c r="J110" s="79">
        <f>'CO2 factors'!F$7*J36</f>
        <v>0</v>
      </c>
      <c r="K110" s="79">
        <f>'CO2 factors'!G$7*K36</f>
        <v>0</v>
      </c>
      <c r="L110" s="79">
        <f>'CO2 factors'!H$7*L36</f>
        <v>0</v>
      </c>
      <c r="M110" s="68">
        <f t="shared" si="28"/>
        <v>0</v>
      </c>
      <c r="N110" s="79">
        <f>'CO2 factors'!J$7*N36</f>
        <v>0</v>
      </c>
      <c r="O110" s="79">
        <f>'CO2 factors'!K$7*O36</f>
        <v>0</v>
      </c>
      <c r="P110" s="79">
        <f>'CO2 factors'!L$7*P36</f>
        <v>0</v>
      </c>
      <c r="Q110" s="79">
        <f>'CO2 factors'!M$7*Q36</f>
        <v>0</v>
      </c>
      <c r="R110" s="79">
        <f>'CO2 factors'!N$7*R36</f>
        <v>0</v>
      </c>
      <c r="S110" s="79">
        <f>'CO2 factors'!O$7*S36</f>
        <v>0</v>
      </c>
      <c r="T110" s="68">
        <f t="shared" si="30"/>
        <v>0</v>
      </c>
      <c r="U110" s="68">
        <f t="shared" si="31"/>
        <v>0</v>
      </c>
    </row>
    <row r="111" spans="1:21" s="21" customFormat="1" ht="15.75">
      <c r="A111" s="22"/>
      <c r="B111" s="197" t="str">
        <f>Translation!A79</f>
        <v>Other services</v>
      </c>
      <c r="C111" s="79">
        <f t="shared" si="41"/>
        <v>0</v>
      </c>
      <c r="D111" s="79">
        <f t="shared" si="42"/>
        <v>0</v>
      </c>
      <c r="E111" s="79">
        <f t="shared" si="43"/>
        <v>0</v>
      </c>
      <c r="F111" s="68">
        <f t="shared" si="26"/>
        <v>0</v>
      </c>
      <c r="G111" s="79">
        <f>'CO2 factors'!C$7*G37</f>
        <v>0</v>
      </c>
      <c r="H111" s="79">
        <f>'CO2 factors'!D$7*H37</f>
        <v>0</v>
      </c>
      <c r="I111" s="79">
        <f>'CO2 factors'!E$7*I37</f>
        <v>0</v>
      </c>
      <c r="J111" s="79">
        <f>'CO2 factors'!F$7*J37</f>
        <v>0</v>
      </c>
      <c r="K111" s="79">
        <f>'CO2 factors'!G$7*K37</f>
        <v>0</v>
      </c>
      <c r="L111" s="79">
        <f>'CO2 factors'!H$7*L37</f>
        <v>0</v>
      </c>
      <c r="M111" s="68">
        <f t="shared" si="28"/>
        <v>0</v>
      </c>
      <c r="N111" s="79">
        <f>'CO2 factors'!J$7*N37</f>
        <v>0</v>
      </c>
      <c r="O111" s="79">
        <f>'CO2 factors'!K$7*O37</f>
        <v>0</v>
      </c>
      <c r="P111" s="79">
        <f>'CO2 factors'!L$7*P37</f>
        <v>0</v>
      </c>
      <c r="Q111" s="79">
        <f>'CO2 factors'!M$7*Q37</f>
        <v>0</v>
      </c>
      <c r="R111" s="79">
        <f>'CO2 factors'!N$7*R37</f>
        <v>0</v>
      </c>
      <c r="S111" s="79">
        <f>'CO2 factors'!O$7*S37</f>
        <v>0</v>
      </c>
      <c r="T111" s="68">
        <f t="shared" si="30"/>
        <v>0</v>
      </c>
      <c r="U111" s="68">
        <f t="shared" si="31"/>
        <v>0</v>
      </c>
    </row>
    <row r="112" spans="1:21" s="21" customFormat="1" ht="15.75" hidden="1">
      <c r="A112" s="22"/>
      <c r="B112" s="197">
        <f>Translation!A80</f>
      </c>
      <c r="C112" s="79">
        <f t="shared" si="41"/>
        <v>0</v>
      </c>
      <c r="D112" s="79">
        <f t="shared" si="42"/>
        <v>0</v>
      </c>
      <c r="E112" s="79">
        <f t="shared" si="43"/>
        <v>0</v>
      </c>
      <c r="F112" s="68">
        <f t="shared" si="26"/>
        <v>0</v>
      </c>
      <c r="G112" s="79">
        <f>'CO2 factors'!C$7*G38</f>
        <v>0</v>
      </c>
      <c r="H112" s="79">
        <f>'CO2 factors'!D$7*H38</f>
        <v>0</v>
      </c>
      <c r="I112" s="79">
        <f>'CO2 factors'!E$7*I38</f>
        <v>0</v>
      </c>
      <c r="J112" s="79">
        <f>'CO2 factors'!F$7*J38</f>
        <v>0</v>
      </c>
      <c r="K112" s="79">
        <f>'CO2 factors'!G$7*K38</f>
        <v>0</v>
      </c>
      <c r="L112" s="79">
        <f>'CO2 factors'!H$7*L38</f>
        <v>0</v>
      </c>
      <c r="M112" s="68">
        <f t="shared" si="28"/>
        <v>0</v>
      </c>
      <c r="N112" s="79">
        <f>'CO2 factors'!J$7*N38</f>
        <v>0</v>
      </c>
      <c r="O112" s="79">
        <f>'CO2 factors'!K$7*O38</f>
        <v>0</v>
      </c>
      <c r="P112" s="79">
        <f>'CO2 factors'!L$7*P38</f>
        <v>0</v>
      </c>
      <c r="Q112" s="79">
        <f>'CO2 factors'!M$7*Q38</f>
        <v>0</v>
      </c>
      <c r="R112" s="79">
        <f>'CO2 factors'!N$7*R38</f>
        <v>0</v>
      </c>
      <c r="S112" s="79">
        <f>'CO2 factors'!O$7*S38</f>
        <v>0</v>
      </c>
      <c r="T112" s="68">
        <f t="shared" si="30"/>
        <v>0</v>
      </c>
      <c r="U112" s="68">
        <f t="shared" si="31"/>
        <v>0</v>
      </c>
    </row>
    <row r="113" spans="1:21" s="21" customFormat="1" ht="15.75" hidden="1">
      <c r="A113" s="22"/>
      <c r="B113" s="197">
        <f>Translation!A81</f>
      </c>
      <c r="C113" s="79">
        <f t="shared" si="41"/>
        <v>0</v>
      </c>
      <c r="D113" s="79">
        <f t="shared" si="42"/>
        <v>0</v>
      </c>
      <c r="E113" s="79">
        <f t="shared" si="43"/>
        <v>0</v>
      </c>
      <c r="F113" s="68">
        <f t="shared" si="26"/>
        <v>0</v>
      </c>
      <c r="G113" s="79">
        <f>'CO2 factors'!C$7*G39</f>
        <v>0</v>
      </c>
      <c r="H113" s="79">
        <f>'CO2 factors'!D$7*H39</f>
        <v>0</v>
      </c>
      <c r="I113" s="79">
        <f>'CO2 factors'!E$7*I39</f>
        <v>0</v>
      </c>
      <c r="J113" s="79">
        <f>'CO2 factors'!F$7*J39</f>
        <v>0</v>
      </c>
      <c r="K113" s="79">
        <f>'CO2 factors'!G$7*K39</f>
        <v>0</v>
      </c>
      <c r="L113" s="79">
        <f>'CO2 factors'!H$7*L39</f>
        <v>0</v>
      </c>
      <c r="M113" s="68">
        <f t="shared" si="28"/>
        <v>0</v>
      </c>
      <c r="N113" s="79">
        <f>'CO2 factors'!J$7*N39</f>
        <v>0</v>
      </c>
      <c r="O113" s="79">
        <f>'CO2 factors'!K$7*O39</f>
        <v>0</v>
      </c>
      <c r="P113" s="79">
        <f>'CO2 factors'!L$7*P39</f>
        <v>0</v>
      </c>
      <c r="Q113" s="79">
        <f>'CO2 factors'!M$7*Q39</f>
        <v>0</v>
      </c>
      <c r="R113" s="79">
        <f>'CO2 factors'!N$7*R39</f>
        <v>0</v>
      </c>
      <c r="S113" s="79">
        <f>'CO2 factors'!O$7*S39</f>
        <v>0</v>
      </c>
      <c r="T113" s="68">
        <f t="shared" si="30"/>
        <v>0</v>
      </c>
      <c r="U113" s="68">
        <f t="shared" si="31"/>
        <v>0</v>
      </c>
    </row>
    <row r="114" spans="1:21" s="21" customFormat="1" ht="15.75" hidden="1">
      <c r="A114" s="22"/>
      <c r="B114" s="197">
        <f>Translation!A82</f>
      </c>
      <c r="C114" s="79">
        <f t="shared" si="41"/>
        <v>0</v>
      </c>
      <c r="D114" s="79">
        <f t="shared" si="42"/>
        <v>0</v>
      </c>
      <c r="E114" s="79">
        <f t="shared" si="43"/>
        <v>0</v>
      </c>
      <c r="F114" s="68">
        <f t="shared" si="26"/>
        <v>0</v>
      </c>
      <c r="G114" s="79">
        <f>'CO2 factors'!C$7*G40</f>
        <v>0</v>
      </c>
      <c r="H114" s="79">
        <f>'CO2 factors'!D$7*H40</f>
        <v>0</v>
      </c>
      <c r="I114" s="79">
        <f>'CO2 factors'!E$7*I40</f>
        <v>0</v>
      </c>
      <c r="J114" s="79">
        <f>'CO2 factors'!F$7*J40</f>
        <v>0</v>
      </c>
      <c r="K114" s="79">
        <f>'CO2 factors'!G$7*K40</f>
        <v>0</v>
      </c>
      <c r="L114" s="79">
        <f>'CO2 factors'!H$7*L40</f>
        <v>0</v>
      </c>
      <c r="M114" s="68">
        <f t="shared" si="28"/>
        <v>0</v>
      </c>
      <c r="N114" s="79">
        <f>'CO2 factors'!J$7*N40</f>
        <v>0</v>
      </c>
      <c r="O114" s="79">
        <f>'CO2 factors'!K$7*O40</f>
        <v>0</v>
      </c>
      <c r="P114" s="79">
        <f>'CO2 factors'!L$7*P40</f>
        <v>0</v>
      </c>
      <c r="Q114" s="79">
        <f>'CO2 factors'!M$7*Q40</f>
        <v>0</v>
      </c>
      <c r="R114" s="79">
        <f>'CO2 factors'!N$7*R40</f>
        <v>0</v>
      </c>
      <c r="S114" s="79">
        <f>'CO2 factors'!O$7*S40</f>
        <v>0</v>
      </c>
      <c r="T114" s="68">
        <f t="shared" si="30"/>
        <v>0</v>
      </c>
      <c r="U114" s="68">
        <f t="shared" si="31"/>
        <v>0</v>
      </c>
    </row>
    <row r="115" spans="1:21" s="21" customFormat="1" ht="15.75" hidden="1">
      <c r="A115" s="22"/>
      <c r="B115" s="197">
        <f>Translation!A83</f>
      </c>
      <c r="C115" s="79">
        <f t="shared" si="41"/>
        <v>0</v>
      </c>
      <c r="D115" s="79">
        <f t="shared" si="42"/>
        <v>0</v>
      </c>
      <c r="E115" s="79">
        <f t="shared" si="43"/>
        <v>0</v>
      </c>
      <c r="F115" s="68">
        <f t="shared" si="26"/>
        <v>0</v>
      </c>
      <c r="G115" s="79">
        <f>'CO2 factors'!C$7*G41</f>
        <v>0</v>
      </c>
      <c r="H115" s="79">
        <f>'CO2 factors'!D$7*H41</f>
        <v>0</v>
      </c>
      <c r="I115" s="79">
        <f>'CO2 factors'!E$7*I41</f>
        <v>0</v>
      </c>
      <c r="J115" s="79">
        <f>'CO2 factors'!F$7*J41</f>
        <v>0</v>
      </c>
      <c r="K115" s="79">
        <f>'CO2 factors'!G$7*K41</f>
        <v>0</v>
      </c>
      <c r="L115" s="79">
        <f>'CO2 factors'!H$7*L41</f>
        <v>0</v>
      </c>
      <c r="M115" s="68">
        <f t="shared" si="28"/>
        <v>0</v>
      </c>
      <c r="N115" s="79">
        <f>'CO2 factors'!J$7*N41</f>
        <v>0</v>
      </c>
      <c r="O115" s="79">
        <f>'CO2 factors'!K$7*O41</f>
        <v>0</v>
      </c>
      <c r="P115" s="79">
        <f>'CO2 factors'!L$7*P41</f>
        <v>0</v>
      </c>
      <c r="Q115" s="79">
        <f>'CO2 factors'!M$7*Q41</f>
        <v>0</v>
      </c>
      <c r="R115" s="79">
        <f>'CO2 factors'!N$7*R41</f>
        <v>0</v>
      </c>
      <c r="S115" s="79">
        <f>'CO2 factors'!O$7*S41</f>
        <v>0</v>
      </c>
      <c r="T115" s="68">
        <f t="shared" si="30"/>
        <v>0</v>
      </c>
      <c r="U115" s="68">
        <f t="shared" si="31"/>
        <v>0</v>
      </c>
    </row>
    <row r="116" spans="1:21" s="21" customFormat="1" ht="15.75" hidden="1">
      <c r="A116" s="22"/>
      <c r="B116" s="197">
        <f>Translation!A84</f>
      </c>
      <c r="C116" s="79">
        <f t="shared" si="41"/>
        <v>0</v>
      </c>
      <c r="D116" s="79">
        <f t="shared" si="42"/>
        <v>0</v>
      </c>
      <c r="E116" s="79">
        <f t="shared" si="43"/>
        <v>0</v>
      </c>
      <c r="F116" s="68">
        <f t="shared" si="26"/>
        <v>0</v>
      </c>
      <c r="G116" s="79">
        <f>'CO2 factors'!C$7*G42</f>
        <v>0</v>
      </c>
      <c r="H116" s="79">
        <f>'CO2 factors'!D$7*H42</f>
        <v>0</v>
      </c>
      <c r="I116" s="79">
        <f>'CO2 factors'!E$7*I42</f>
        <v>0</v>
      </c>
      <c r="J116" s="79">
        <f>'CO2 factors'!F$7*J42</f>
        <v>0</v>
      </c>
      <c r="K116" s="79">
        <f>'CO2 factors'!G$7*K42</f>
        <v>0</v>
      </c>
      <c r="L116" s="79">
        <f>'CO2 factors'!H$7*L42</f>
        <v>0</v>
      </c>
      <c r="M116" s="68">
        <f t="shared" si="28"/>
        <v>0</v>
      </c>
      <c r="N116" s="79">
        <f>'CO2 factors'!J$7*N42</f>
        <v>0</v>
      </c>
      <c r="O116" s="79">
        <f>'CO2 factors'!K$7*O42</f>
        <v>0</v>
      </c>
      <c r="P116" s="79">
        <f>'CO2 factors'!L$7*P42</f>
        <v>0</v>
      </c>
      <c r="Q116" s="79">
        <f>'CO2 factors'!M$7*Q42</f>
        <v>0</v>
      </c>
      <c r="R116" s="79">
        <f>'CO2 factors'!N$7*R42</f>
        <v>0</v>
      </c>
      <c r="S116" s="79">
        <f>'CO2 factors'!O$7*S42</f>
        <v>0</v>
      </c>
      <c r="T116" s="68">
        <f t="shared" si="30"/>
        <v>0</v>
      </c>
      <c r="U116" s="68">
        <f t="shared" si="31"/>
        <v>0</v>
      </c>
    </row>
    <row r="117" spans="1:21" s="21" customFormat="1" ht="15.75">
      <c r="A117" s="22"/>
      <c r="B117" s="65" t="str">
        <f>Translation!A85</f>
        <v>TRANSPORTS</v>
      </c>
      <c r="C117" s="68">
        <f>SUM(C118:C121)</f>
        <v>0</v>
      </c>
      <c r="D117" s="68">
        <f>SUM(D118:D121)</f>
        <v>0</v>
      </c>
      <c r="E117" s="68">
        <f>SUM(E118:E121)</f>
        <v>0</v>
      </c>
      <c r="F117" s="68">
        <f t="shared" si="26"/>
        <v>0</v>
      </c>
      <c r="G117" s="68">
        <f aca="true" t="shared" si="44" ref="G117:L117">SUM(G118:G121)</f>
        <v>0</v>
      </c>
      <c r="H117" s="68">
        <f t="shared" si="44"/>
        <v>5486.326854357678</v>
      </c>
      <c r="I117" s="68">
        <f t="shared" si="44"/>
        <v>4854.79035</v>
      </c>
      <c r="J117" s="68">
        <f t="shared" si="44"/>
        <v>0</v>
      </c>
      <c r="K117" s="68">
        <f t="shared" si="44"/>
        <v>0</v>
      </c>
      <c r="L117" s="68">
        <f t="shared" si="44"/>
        <v>0</v>
      </c>
      <c r="M117" s="68">
        <f t="shared" si="28"/>
        <v>10341.117204357677</v>
      </c>
      <c r="N117" s="68">
        <f aca="true" t="shared" si="45" ref="N117:S117">SUM(N118:N121)</f>
        <v>0</v>
      </c>
      <c r="O117" s="68">
        <f t="shared" si="45"/>
        <v>0</v>
      </c>
      <c r="P117" s="68">
        <f t="shared" si="45"/>
        <v>0</v>
      </c>
      <c r="Q117" s="68">
        <f t="shared" si="45"/>
        <v>0</v>
      </c>
      <c r="R117" s="68">
        <f t="shared" si="45"/>
        <v>0</v>
      </c>
      <c r="S117" s="68">
        <f t="shared" si="45"/>
        <v>0</v>
      </c>
      <c r="T117" s="68">
        <f t="shared" si="30"/>
        <v>0</v>
      </c>
      <c r="U117" s="68">
        <f t="shared" si="31"/>
        <v>10341.117204357677</v>
      </c>
    </row>
    <row r="118" spans="1:21" s="21" customFormat="1" ht="30">
      <c r="A118" s="22"/>
      <c r="B118" s="197" t="str">
        <f>Translation!A86</f>
        <v>Passenger road transport (public transports, taxi, tourism, school buses, etc.)</v>
      </c>
      <c r="C118" s="79">
        <f>IF(AND(C$48&gt;0,($S$128+$V$137)&gt;0),($S$128+$V$137)/C$48,0)*C44</f>
        <v>0</v>
      </c>
      <c r="D118" s="79">
        <f>IF(AND(D$48&gt;0,$S$129&gt;0),($S$129)/D$48,0)*D44</f>
        <v>0</v>
      </c>
      <c r="E118" s="79">
        <f>IF(AND(E$48&gt;0,$S$130&gt;0),($S$130)/E$48,0)*E44</f>
        <v>0</v>
      </c>
      <c r="F118" s="68">
        <f t="shared" si="26"/>
        <v>0</v>
      </c>
      <c r="G118" s="79">
        <f>'CO2 factors'!C$7*G44</f>
        <v>0</v>
      </c>
      <c r="H118" s="79">
        <f>'CO2 factors'!D$7*H44</f>
        <v>148.0515</v>
      </c>
      <c r="I118" s="79">
        <f>'CO2 factors'!E$7*I44</f>
        <v>0</v>
      </c>
      <c r="J118" s="79">
        <f>'CO2 factors'!F$7*J44</f>
        <v>0</v>
      </c>
      <c r="K118" s="79">
        <f>'CO2 factors'!G$7*K44</f>
        <v>0</v>
      </c>
      <c r="L118" s="79">
        <f>'CO2 factors'!H$7*L44</f>
        <v>0</v>
      </c>
      <c r="M118" s="68">
        <f t="shared" si="28"/>
        <v>148.0515</v>
      </c>
      <c r="N118" s="79">
        <f>'CO2 factors'!J$7*N44</f>
        <v>0</v>
      </c>
      <c r="O118" s="79">
        <f>'CO2 factors'!K$7*O44</f>
        <v>0</v>
      </c>
      <c r="P118" s="79">
        <f>'CO2 factors'!L$7*P44</f>
        <v>0</v>
      </c>
      <c r="Q118" s="79">
        <f>'CO2 factors'!M$7*Q44</f>
        <v>0</v>
      </c>
      <c r="R118" s="79">
        <f>'CO2 factors'!N$7*R44</f>
        <v>0</v>
      </c>
      <c r="S118" s="79">
        <f>'CO2 factors'!O$7*S44</f>
        <v>0</v>
      </c>
      <c r="T118" s="68">
        <f t="shared" si="30"/>
        <v>0</v>
      </c>
      <c r="U118" s="68">
        <f t="shared" si="31"/>
        <v>148.0515</v>
      </c>
    </row>
    <row r="119" spans="1:21" s="21" customFormat="1" ht="15.75">
      <c r="A119" s="22"/>
      <c r="B119" s="197" t="str">
        <f>Translation!A87</f>
        <v>Freight transport by road and removal services</v>
      </c>
      <c r="C119" s="79">
        <f>IF(AND(C$48&gt;0,($S$128+$V$137)&gt;0),($S$128+$V$137)/C$48,0)*C45</f>
        <v>0</v>
      </c>
      <c r="D119" s="79">
        <f>IF(AND(D$48&gt;0,$S$129&gt;0),($S$129)/D$48,0)*D45</f>
        <v>0</v>
      </c>
      <c r="E119" s="79">
        <f>IF(AND(E$48&gt;0,$S$130&gt;0),($S$130)/E$48,0)*E45</f>
        <v>0</v>
      </c>
      <c r="F119" s="68">
        <f t="shared" si="26"/>
        <v>0</v>
      </c>
      <c r="G119" s="79">
        <f>'CO2 factors'!C$7*G45</f>
        <v>0</v>
      </c>
      <c r="H119" s="79">
        <f>'CO2 factors'!D$7*H45</f>
        <v>3307.399929357678</v>
      </c>
      <c r="I119" s="79">
        <f>'CO2 factors'!E$7*I45</f>
        <v>0</v>
      </c>
      <c r="J119" s="79">
        <f>'CO2 factors'!F$7*J45</f>
        <v>0</v>
      </c>
      <c r="K119" s="79">
        <f>'CO2 factors'!G$7*K45</f>
        <v>0</v>
      </c>
      <c r="L119" s="79">
        <f>'CO2 factors'!H$7*L45</f>
        <v>0</v>
      </c>
      <c r="M119" s="68">
        <f t="shared" si="28"/>
        <v>3307.399929357678</v>
      </c>
      <c r="N119" s="79">
        <f>'CO2 factors'!J$7*N45</f>
        <v>0</v>
      </c>
      <c r="O119" s="79">
        <f>'CO2 factors'!K$7*O45</f>
        <v>0</v>
      </c>
      <c r="P119" s="79">
        <f>'CO2 factors'!L$7*P45</f>
        <v>0</v>
      </c>
      <c r="Q119" s="79">
        <f>'CO2 factors'!M$7*Q45</f>
        <v>0</v>
      </c>
      <c r="R119" s="79">
        <f>'CO2 factors'!N$7*R45</f>
        <v>0</v>
      </c>
      <c r="S119" s="79">
        <f>'CO2 factors'!O$7*S45</f>
        <v>0</v>
      </c>
      <c r="T119" s="68">
        <f t="shared" si="30"/>
        <v>0</v>
      </c>
      <c r="U119" s="68">
        <f t="shared" si="31"/>
        <v>3307.399929357678</v>
      </c>
    </row>
    <row r="120" spans="1:21" s="21" customFormat="1" ht="30">
      <c r="A120" s="22"/>
      <c r="B120" s="197" t="str">
        <f>Translation!A88</f>
        <v>Other fleet for public and private services, and private transports</v>
      </c>
      <c r="C120" s="79">
        <f>IF(AND(C$48&gt;0,($S$128+$V$137)&gt;0),($S$128+$V$137)/C$48,0)*C46</f>
        <v>0</v>
      </c>
      <c r="D120" s="79">
        <f>IF(AND(D$48&gt;0,$S$129&gt;0),($S$129)/D$48,0)*D46</f>
        <v>0</v>
      </c>
      <c r="E120" s="79">
        <f>IF(AND(E$48&gt;0,$S$130&gt;0),($S$130)/E$48,0)*E46</f>
        <v>0</v>
      </c>
      <c r="F120" s="68">
        <f t="shared" si="26"/>
        <v>0</v>
      </c>
      <c r="G120" s="79">
        <f>'CO2 factors'!C$7*G46</f>
        <v>0</v>
      </c>
      <c r="H120" s="79">
        <f>'CO2 factors'!D$7*H46</f>
        <v>2030.8754250000002</v>
      </c>
      <c r="I120" s="79">
        <f>'CO2 factors'!E$7*I46</f>
        <v>4854.79035</v>
      </c>
      <c r="J120" s="79">
        <f>'CO2 factors'!F$7*J46</f>
        <v>0</v>
      </c>
      <c r="K120" s="79">
        <f>'CO2 factors'!G$7*K46</f>
        <v>0</v>
      </c>
      <c r="L120" s="79">
        <f>'CO2 factors'!H$7*L46</f>
        <v>0</v>
      </c>
      <c r="M120" s="68">
        <f t="shared" si="28"/>
        <v>6885.665775</v>
      </c>
      <c r="N120" s="79">
        <f>'CO2 factors'!J$7*N46</f>
        <v>0</v>
      </c>
      <c r="O120" s="79">
        <f>'CO2 factors'!K$7*O46</f>
        <v>0</v>
      </c>
      <c r="P120" s="79">
        <f>'CO2 factors'!L$7*P46</f>
        <v>0</v>
      </c>
      <c r="Q120" s="79">
        <f>'CO2 factors'!M$7*Q46</f>
        <v>0</v>
      </c>
      <c r="R120" s="79">
        <f>'CO2 factors'!N$7*R46</f>
        <v>0</v>
      </c>
      <c r="S120" s="79">
        <f>'CO2 factors'!O$7*S46</f>
        <v>0</v>
      </c>
      <c r="T120" s="68">
        <f t="shared" si="30"/>
        <v>0</v>
      </c>
      <c r="U120" s="68">
        <f t="shared" si="31"/>
        <v>6885.665775</v>
      </c>
    </row>
    <row r="121" spans="1:21" s="21" customFormat="1" ht="15.75" hidden="1">
      <c r="A121" s="22"/>
      <c r="B121" s="196">
        <f>Translation!A89</f>
      </c>
      <c r="C121" s="79">
        <f>IF(AND(C$48&gt;0,($S$128+$V$137)&gt;0),($S$128+$V$137)/C$48,0)*C47</f>
        <v>0</v>
      </c>
      <c r="D121" s="79">
        <f>IF(AND(D$48&gt;0,$S$129&gt;0),($S$129)/D$48,0)*D47</f>
        <v>0</v>
      </c>
      <c r="E121" s="79">
        <f>IF(AND(E$48&gt;0,$S$130&gt;0),($S$130)/E$48,0)*E47</f>
        <v>0</v>
      </c>
      <c r="F121" s="68">
        <f t="shared" si="26"/>
        <v>0</v>
      </c>
      <c r="G121" s="79">
        <f>'CO2 factors'!C$7*G47</f>
        <v>0</v>
      </c>
      <c r="H121" s="79">
        <f>'CO2 factors'!D$7*H47</f>
        <v>0</v>
      </c>
      <c r="I121" s="79">
        <f>'CO2 factors'!E$7*I47</f>
        <v>0</v>
      </c>
      <c r="J121" s="79">
        <f>'CO2 factors'!F$7*J47</f>
        <v>0</v>
      </c>
      <c r="K121" s="79">
        <f>'CO2 factors'!G$7*K47</f>
        <v>0</v>
      </c>
      <c r="L121" s="79">
        <f>'CO2 factors'!H$7*L47</f>
        <v>0</v>
      </c>
      <c r="M121" s="68">
        <f t="shared" si="28"/>
        <v>0</v>
      </c>
      <c r="N121" s="79">
        <f>'CO2 factors'!J$7*N47</f>
        <v>0</v>
      </c>
      <c r="O121" s="79">
        <f>'CO2 factors'!K$7*O47</f>
        <v>0</v>
      </c>
      <c r="P121" s="79">
        <f>'CO2 factors'!L$7*P47</f>
        <v>0</v>
      </c>
      <c r="Q121" s="79">
        <f>'CO2 factors'!M$7*Q47</f>
        <v>0</v>
      </c>
      <c r="R121" s="79">
        <f>'CO2 factors'!N$7*R47</f>
        <v>0</v>
      </c>
      <c r="S121" s="79">
        <f>'CO2 factors'!O$7*S47</f>
        <v>0</v>
      </c>
      <c r="T121" s="68">
        <f t="shared" si="30"/>
        <v>0</v>
      </c>
      <c r="U121" s="68">
        <f t="shared" si="31"/>
        <v>0</v>
      </c>
    </row>
    <row r="122" spans="1:21" s="21" customFormat="1" ht="15.75">
      <c r="A122" s="22"/>
      <c r="B122" s="77" t="str">
        <f>Translation!A117</f>
        <v>TOTAL FOR INTERNAL MARKET</v>
      </c>
      <c r="C122" s="69">
        <f>C91+C101+C104+C108+C117</f>
        <v>0</v>
      </c>
      <c r="D122" s="69">
        <f>D91+D101+D104+D108+D117</f>
        <v>0</v>
      </c>
      <c r="E122" s="69">
        <f>E91+E101+E104+E108+E117</f>
        <v>0</v>
      </c>
      <c r="F122" s="68">
        <f t="shared" si="26"/>
        <v>0</v>
      </c>
      <c r="G122" s="69">
        <f aca="true" t="shared" si="46" ref="G122:L122">G91+G101+G104+G108+G117</f>
        <v>107.30452645852347</v>
      </c>
      <c r="H122" s="69">
        <f t="shared" si="46"/>
        <v>6863.5128543576775</v>
      </c>
      <c r="I122" s="69">
        <f t="shared" si="46"/>
        <v>4854.79035</v>
      </c>
      <c r="J122" s="69">
        <f t="shared" si="46"/>
        <v>2.88</v>
      </c>
      <c r="K122" s="69">
        <f t="shared" si="46"/>
        <v>0</v>
      </c>
      <c r="L122" s="69">
        <f t="shared" si="46"/>
        <v>0</v>
      </c>
      <c r="M122" s="68">
        <f t="shared" si="28"/>
        <v>11828.487730816201</v>
      </c>
      <c r="N122" s="69">
        <f aca="true" t="shared" si="47" ref="N122:S122">N91+N101+N104+N108+N117</f>
        <v>0</v>
      </c>
      <c r="O122" s="69">
        <f t="shared" si="47"/>
        <v>0</v>
      </c>
      <c r="P122" s="69">
        <f t="shared" si="47"/>
        <v>0</v>
      </c>
      <c r="Q122" s="69">
        <f t="shared" si="47"/>
        <v>0</v>
      </c>
      <c r="R122" s="69">
        <f t="shared" si="47"/>
        <v>0</v>
      </c>
      <c r="S122" s="69">
        <f t="shared" si="47"/>
        <v>0</v>
      </c>
      <c r="T122" s="68">
        <f t="shared" si="30"/>
        <v>0</v>
      </c>
      <c r="U122" s="68">
        <f t="shared" si="31"/>
        <v>11828.487730816201</v>
      </c>
    </row>
    <row r="123" spans="2:23" s="55" customFormat="1" ht="15">
      <c r="B123" s="67"/>
      <c r="C123" s="66"/>
      <c r="D123" s="66"/>
      <c r="E123" s="66"/>
      <c r="F123" s="66"/>
      <c r="G123" s="66"/>
      <c r="H123" s="66"/>
      <c r="I123" s="66"/>
      <c r="J123" s="66"/>
      <c r="K123" s="66"/>
      <c r="L123" s="66"/>
      <c r="M123" s="66"/>
      <c r="N123" s="66"/>
      <c r="O123" s="66"/>
      <c r="P123" s="66"/>
      <c r="Q123" s="66"/>
      <c r="R123" s="66"/>
      <c r="S123" s="66"/>
      <c r="T123" s="66"/>
      <c r="U123" s="66"/>
      <c r="V123" s="66"/>
      <c r="W123" s="66"/>
    </row>
    <row r="124" spans="2:31" s="90" customFormat="1" ht="31.5">
      <c r="B124" s="100" t="str">
        <f>Translation!A147</f>
        <v>CO2 EMISSIONS FROM PRODUCTION</v>
      </c>
      <c r="C124" s="101"/>
      <c r="D124" s="101"/>
      <c r="E124" s="101"/>
      <c r="F124" s="101"/>
      <c r="G124" s="101"/>
      <c r="H124" s="101"/>
      <c r="I124" s="101"/>
      <c r="J124" s="101"/>
      <c r="K124" s="101"/>
      <c r="L124" s="101"/>
      <c r="M124" s="101"/>
      <c r="N124" s="101"/>
      <c r="O124" s="101"/>
      <c r="P124" s="101"/>
      <c r="Q124" s="101"/>
      <c r="R124" s="101"/>
      <c r="S124" s="102" t="str">
        <f>Translation!$A$17</f>
        <v>[t CO2]</v>
      </c>
      <c r="T124" s="103"/>
      <c r="U124" s="104"/>
      <c r="V124" s="104"/>
      <c r="W124" s="102" t="str">
        <f>Translation!$A$19</f>
        <v>[t CO2/MWh]</v>
      </c>
      <c r="X124" s="96"/>
      <c r="Y124" s="96"/>
      <c r="Z124" s="96"/>
      <c r="AA124" s="96"/>
      <c r="AB124" s="96"/>
      <c r="AC124" s="96"/>
      <c r="AD124" s="96"/>
      <c r="AE124" s="96"/>
    </row>
    <row r="125" spans="2:31" s="55" customFormat="1" ht="30" customHeight="1">
      <c r="B125" s="321" t="str">
        <f>Translation!A120</f>
        <v>PRODUCTION SECTOR</v>
      </c>
      <c r="C125" s="297" t="str">
        <f>Translation!A142</f>
        <v>PRIMARY ENERGY SOURCE</v>
      </c>
      <c r="D125" s="298"/>
      <c r="E125" s="298"/>
      <c r="F125" s="298"/>
      <c r="G125" s="298"/>
      <c r="H125" s="298"/>
      <c r="I125" s="298"/>
      <c r="J125" s="298"/>
      <c r="K125" s="298"/>
      <c r="L125" s="298"/>
      <c r="M125" s="298"/>
      <c r="N125" s="298"/>
      <c r="O125" s="298"/>
      <c r="P125" s="298"/>
      <c r="Q125" s="298"/>
      <c r="R125" s="298"/>
      <c r="S125" s="299"/>
      <c r="T125" s="64"/>
      <c r="U125" s="306" t="str">
        <f>Translation!A122</f>
        <v>Energy product</v>
      </c>
      <c r="V125" s="307"/>
      <c r="W125" s="313" t="str">
        <f>Translation!A149</f>
        <v>CO2 EMISSION FACTORS</v>
      </c>
      <c r="X125" s="61"/>
      <c r="Y125" s="61"/>
      <c r="Z125" s="61"/>
      <c r="AA125" s="61"/>
      <c r="AB125" s="61"/>
      <c r="AC125" s="61"/>
      <c r="AD125" s="61"/>
      <c r="AE125" s="61"/>
    </row>
    <row r="126" spans="2:31" s="55" customFormat="1" ht="15" customHeight="1">
      <c r="B126" s="322"/>
      <c r="C126" s="297" t="str">
        <f>Translation!A98</f>
        <v>Fossil fuels</v>
      </c>
      <c r="D126" s="298"/>
      <c r="E126" s="298"/>
      <c r="F126" s="298"/>
      <c r="G126" s="298"/>
      <c r="H126" s="298"/>
      <c r="I126" s="299"/>
      <c r="J126" s="297" t="str">
        <f>Translation!A107</f>
        <v>Renewable energy sources</v>
      </c>
      <c r="K126" s="298"/>
      <c r="L126" s="298"/>
      <c r="M126" s="298"/>
      <c r="N126" s="298"/>
      <c r="O126" s="298"/>
      <c r="P126" s="298"/>
      <c r="Q126" s="298"/>
      <c r="R126" s="299"/>
      <c r="S126" s="316" t="str">
        <f>Translation!A118</f>
        <v>TOTAL</v>
      </c>
      <c r="T126" s="64"/>
      <c r="U126" s="308"/>
      <c r="V126" s="309"/>
      <c r="W126" s="314"/>
      <c r="X126" s="61"/>
      <c r="Y126" s="61"/>
      <c r="Z126" s="61"/>
      <c r="AA126" s="61"/>
      <c r="AB126" s="61"/>
      <c r="AC126" s="61"/>
      <c r="AD126" s="61"/>
      <c r="AE126" s="61"/>
    </row>
    <row r="127" spans="2:31" s="55" customFormat="1" ht="69.75" customHeight="1">
      <c r="B127" s="65" t="str">
        <f>Translation!A122</f>
        <v>Energy product</v>
      </c>
      <c r="C127" s="111" t="str">
        <f>Translation!A99</f>
        <v>Fueloil</v>
      </c>
      <c r="D127" s="111" t="str">
        <f>Translation!A100</f>
        <v>Diesel</v>
      </c>
      <c r="E127" s="111" t="str">
        <f>Translation!A101</f>
        <v>Gasoline</v>
      </c>
      <c r="F127" s="111" t="str">
        <f>Translation!A102</f>
        <v>LPG</v>
      </c>
      <c r="G127" s="111" t="str">
        <f>Translation!A103</f>
        <v>Natural gas</v>
      </c>
      <c r="H127" s="111" t="str">
        <f>Translation!A104</f>
        <v>Coal</v>
      </c>
      <c r="I127" s="111" t="str">
        <f>Translation!A116</f>
        <v>Subtotal</v>
      </c>
      <c r="J127" s="111" t="str">
        <f>Translation!A108</f>
        <v>Hydro</v>
      </c>
      <c r="K127" s="111" t="str">
        <f>Translation!A109</f>
        <v>Wind</v>
      </c>
      <c r="L127" s="111" t="str">
        <f>Translation!A110</f>
        <v>Solar</v>
      </c>
      <c r="M127" s="111" t="str">
        <f>Translation!A111</f>
        <v>Geothermal</v>
      </c>
      <c r="N127" s="111" t="str">
        <f>Translation!A112</f>
        <v>Ocean</v>
      </c>
      <c r="O127" s="111" t="str">
        <f>Translation!A113</f>
        <v>Biomass</v>
      </c>
      <c r="P127" s="111" t="str">
        <f>Translation!A114</f>
        <v>Urban waste</v>
      </c>
      <c r="Q127" s="111" t="str">
        <f>Translation!A115</f>
        <v>Energy recovery</v>
      </c>
      <c r="R127" s="111" t="str">
        <f>Translation!A116</f>
        <v>Subtotal</v>
      </c>
      <c r="S127" s="316"/>
      <c r="T127" s="64"/>
      <c r="U127" s="310"/>
      <c r="V127" s="311"/>
      <c r="W127" s="315"/>
      <c r="X127" s="61"/>
      <c r="Y127" s="61"/>
      <c r="Z127" s="61"/>
      <c r="AA127" s="61"/>
      <c r="AB127" s="61"/>
      <c r="AC127" s="61"/>
      <c r="AD127" s="61"/>
      <c r="AE127" s="61"/>
    </row>
    <row r="128" spans="2:31" s="55" customFormat="1" ht="15.75">
      <c r="B128" s="198" t="str">
        <f>Translation!A123</f>
        <v>Electricity</v>
      </c>
      <c r="C128" s="202">
        <f>'CO2 factors'!C$7*C67</f>
        <v>0</v>
      </c>
      <c r="D128" s="202">
        <f>'CO2 factors'!D$7*D67</f>
        <v>0</v>
      </c>
      <c r="E128" s="202">
        <f>'CO2 factors'!E$7*E67</f>
        <v>0</v>
      </c>
      <c r="F128" s="202">
        <f>'CO2 factors'!F$7*F67</f>
        <v>0</v>
      </c>
      <c r="G128" s="202">
        <f>'CO2 factors'!G$7*G67</f>
        <v>0</v>
      </c>
      <c r="H128" s="202">
        <f>'CO2 factors'!H$7*H67</f>
        <v>0</v>
      </c>
      <c r="I128" s="63">
        <f>SUM(C128:H128)</f>
        <v>0</v>
      </c>
      <c r="J128" s="202">
        <f>'CO2 factors'!J$7*J67</f>
        <v>0</v>
      </c>
      <c r="K128" s="202">
        <f>'CO2 factors'!K$7*K67</f>
        <v>0</v>
      </c>
      <c r="L128" s="202">
        <f>'CO2 factors'!L$7*L67</f>
        <v>0</v>
      </c>
      <c r="M128" s="202">
        <f>'CO2 factors'!M$7*M67</f>
        <v>0</v>
      </c>
      <c r="N128" s="202">
        <f>'CO2 factors'!N$7*N67</f>
        <v>0</v>
      </c>
      <c r="O128" s="202">
        <f>'CO2 factors'!O$7*O67</f>
        <v>0</v>
      </c>
      <c r="P128" s="202">
        <f>'CO2 factors'!P$7*P67</f>
        <v>0</v>
      </c>
      <c r="Q128" s="202">
        <f>'CO2 factors'!Q$7*Q67</f>
        <v>0</v>
      </c>
      <c r="R128" s="63">
        <f>SUM(J128:Q128)</f>
        <v>0</v>
      </c>
      <c r="S128" s="63">
        <f>I128+R128</f>
        <v>0</v>
      </c>
      <c r="T128" s="62"/>
      <c r="U128" s="304" t="str">
        <f>Translation!A123</f>
        <v>Electricity</v>
      </c>
      <c r="V128" s="305"/>
      <c r="W128" s="203">
        <f>IF(S58&gt;0,S128/S58,0)</f>
        <v>0</v>
      </c>
      <c r="X128" s="61"/>
      <c r="Y128" s="61"/>
      <c r="Z128" s="61"/>
      <c r="AA128" s="61"/>
      <c r="AB128" s="61"/>
      <c r="AC128" s="61"/>
      <c r="AD128" s="61"/>
      <c r="AE128" s="61"/>
    </row>
    <row r="129" spans="2:31" s="55" customFormat="1" ht="15.75">
      <c r="B129" s="198" t="str">
        <f>Translation!A124</f>
        <v>Heat</v>
      </c>
      <c r="C129" s="202">
        <f>'CO2 factors'!C$7*C68</f>
        <v>0</v>
      </c>
      <c r="D129" s="202">
        <f>'CO2 factors'!D$7*D68</f>
        <v>0</v>
      </c>
      <c r="E129" s="202">
        <f>'CO2 factors'!E$7*E68</f>
        <v>0</v>
      </c>
      <c r="F129" s="202">
        <f>'CO2 factors'!F$7*F68</f>
        <v>0</v>
      </c>
      <c r="G129" s="202">
        <f>'CO2 factors'!G$7*G68</f>
        <v>0</v>
      </c>
      <c r="H129" s="202">
        <f>'CO2 factors'!H$7*H68</f>
        <v>0</v>
      </c>
      <c r="I129" s="63">
        <f>SUM(C129:H129)</f>
        <v>0</v>
      </c>
      <c r="J129" s="202">
        <f>'CO2 factors'!J$7*J68</f>
        <v>0</v>
      </c>
      <c r="K129" s="202">
        <f>'CO2 factors'!K$7*K68</f>
        <v>0</v>
      </c>
      <c r="L129" s="202">
        <f>'CO2 factors'!L$7*L68</f>
        <v>0</v>
      </c>
      <c r="M129" s="202">
        <f>'CO2 factors'!M$7*M68</f>
        <v>0</v>
      </c>
      <c r="N129" s="202">
        <f>'CO2 factors'!N$7*N68</f>
        <v>0</v>
      </c>
      <c r="O129" s="202">
        <f>'CO2 factors'!O$7*O68</f>
        <v>0</v>
      </c>
      <c r="P129" s="202">
        <f>'CO2 factors'!P$7*P68</f>
        <v>0</v>
      </c>
      <c r="Q129" s="202">
        <f>'CO2 factors'!Q$7*Q68</f>
        <v>0</v>
      </c>
      <c r="R129" s="63">
        <f>SUM(J129:Q129)</f>
        <v>0</v>
      </c>
      <c r="S129" s="63">
        <f>I129+R129</f>
        <v>0</v>
      </c>
      <c r="T129" s="62"/>
      <c r="U129" s="312" t="str">
        <f>Translation!A124</f>
        <v>Heat</v>
      </c>
      <c r="V129" s="312"/>
      <c r="W129" s="203">
        <f>IF(S59&gt;0,S129/S59,0)</f>
        <v>0</v>
      </c>
      <c r="X129" s="61"/>
      <c r="Y129" s="61"/>
      <c r="Z129" s="61"/>
      <c r="AA129" s="61"/>
      <c r="AB129" s="61"/>
      <c r="AC129" s="61"/>
      <c r="AD129" s="61"/>
      <c r="AE129" s="61"/>
    </row>
    <row r="130" spans="2:31" s="55" customFormat="1" ht="15.75">
      <c r="B130" s="198" t="str">
        <f>Translation!A125</f>
        <v>Cold</v>
      </c>
      <c r="C130" s="202">
        <f>'CO2 factors'!C$7*C69</f>
        <v>0</v>
      </c>
      <c r="D130" s="202">
        <f>'CO2 factors'!D$7*D69</f>
        <v>0</v>
      </c>
      <c r="E130" s="202">
        <f>'CO2 factors'!E$7*E69</f>
        <v>0</v>
      </c>
      <c r="F130" s="202">
        <f>'CO2 factors'!F$7*F69</f>
        <v>0</v>
      </c>
      <c r="G130" s="202">
        <f>'CO2 factors'!G$7*G69</f>
        <v>0</v>
      </c>
      <c r="H130" s="202">
        <f>'CO2 factors'!H$7*H69</f>
        <v>0</v>
      </c>
      <c r="I130" s="63">
        <f>SUM(C130:H130)</f>
        <v>0</v>
      </c>
      <c r="J130" s="202">
        <f>'CO2 factors'!J$7*J69</f>
        <v>0</v>
      </c>
      <c r="K130" s="202">
        <f>'CO2 factors'!K$7*K69</f>
        <v>0</v>
      </c>
      <c r="L130" s="202">
        <f>'CO2 factors'!L$7*L69</f>
        <v>0</v>
      </c>
      <c r="M130" s="202">
        <f>'CO2 factors'!M$7*M69</f>
        <v>0</v>
      </c>
      <c r="N130" s="202">
        <f>'CO2 factors'!N$7*N69</f>
        <v>0</v>
      </c>
      <c r="O130" s="202">
        <f>'CO2 factors'!O$7*O69</f>
        <v>0</v>
      </c>
      <c r="P130" s="202">
        <f>'CO2 factors'!P$7*P69</f>
        <v>0</v>
      </c>
      <c r="Q130" s="202">
        <f>'CO2 factors'!Q$7*Q69</f>
        <v>0</v>
      </c>
      <c r="R130" s="63">
        <f>SUM(J130:Q130)</f>
        <v>0</v>
      </c>
      <c r="S130" s="63">
        <f>I130+R130</f>
        <v>0</v>
      </c>
      <c r="T130" s="62"/>
      <c r="U130" s="312" t="str">
        <f>Translation!A125</f>
        <v>Cold</v>
      </c>
      <c r="V130" s="312"/>
      <c r="W130" s="203">
        <f>IF(S60&gt;0,S130/S60,0)</f>
        <v>0</v>
      </c>
      <c r="X130" s="61"/>
      <c r="Y130" s="61"/>
      <c r="Z130" s="61"/>
      <c r="AA130" s="61"/>
      <c r="AB130" s="61"/>
      <c r="AC130" s="61"/>
      <c r="AD130" s="61"/>
      <c r="AE130" s="61"/>
    </row>
    <row r="131" spans="2:30" s="55" customFormat="1" ht="15.75">
      <c r="B131" s="74" t="str">
        <f>Translation!A118</f>
        <v>TOTAL</v>
      </c>
      <c r="C131" s="57">
        <f aca="true" t="shared" si="48" ref="C131:S131">SUM(C128:C130)</f>
        <v>0</v>
      </c>
      <c r="D131" s="57">
        <f t="shared" si="48"/>
        <v>0</v>
      </c>
      <c r="E131" s="57">
        <f t="shared" si="48"/>
        <v>0</v>
      </c>
      <c r="F131" s="57">
        <f t="shared" si="48"/>
        <v>0</v>
      </c>
      <c r="G131" s="57">
        <f t="shared" si="48"/>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57">
        <f t="shared" si="48"/>
        <v>0</v>
      </c>
      <c r="Q131" s="57">
        <f t="shared" si="48"/>
        <v>0</v>
      </c>
      <c r="R131" s="57">
        <f t="shared" si="48"/>
        <v>0</v>
      </c>
      <c r="S131" s="57">
        <f t="shared" si="48"/>
        <v>0</v>
      </c>
      <c r="T131" s="60"/>
      <c r="U131" s="60"/>
      <c r="V131" s="61"/>
      <c r="W131" s="61"/>
      <c r="X131" s="61"/>
      <c r="Y131" s="61"/>
      <c r="Z131" s="61"/>
      <c r="AA131" s="61"/>
      <c r="AB131" s="61"/>
      <c r="AC131" s="60"/>
      <c r="AD131" s="61"/>
    </row>
    <row r="132" s="59" customFormat="1" ht="15">
      <c r="B132" s="78"/>
    </row>
    <row r="133" spans="2:28" s="90" customFormat="1" ht="31.5">
      <c r="B133" s="91" t="str">
        <f>Translation!A146</f>
        <v>CO2 EMISSIONS</v>
      </c>
      <c r="C133" s="93"/>
      <c r="D133" s="93"/>
      <c r="E133" s="93"/>
      <c r="F133" s="93"/>
      <c r="G133" s="93"/>
      <c r="H133" s="93"/>
      <c r="I133" s="94"/>
      <c r="M133" s="94"/>
      <c r="Y133" s="92" t="str">
        <f>Translation!$A$17</f>
        <v>[t CO2]</v>
      </c>
      <c r="AB133" s="92" t="str">
        <f>Translation!$A$17</f>
        <v>[t CO2]</v>
      </c>
    </row>
    <row r="134" spans="2:28" s="55" customFormat="1" ht="30" customHeight="1">
      <c r="B134" s="329" t="str">
        <f>Translation!A122</f>
        <v>Energy product</v>
      </c>
      <c r="C134" s="294" t="str">
        <f>Translation!A142</f>
        <v>PRIMARY ENERGY SOURCE</v>
      </c>
      <c r="D134" s="295"/>
      <c r="E134" s="295"/>
      <c r="F134" s="295"/>
      <c r="G134" s="295"/>
      <c r="H134" s="295"/>
      <c r="I134" s="295"/>
      <c r="J134" s="295"/>
      <c r="K134" s="295"/>
      <c r="L134" s="295"/>
      <c r="M134" s="295"/>
      <c r="N134" s="295"/>
      <c r="O134" s="295"/>
      <c r="P134" s="295"/>
      <c r="Q134" s="295"/>
      <c r="R134" s="295"/>
      <c r="S134" s="295"/>
      <c r="T134" s="295"/>
      <c r="U134" s="295"/>
      <c r="V134" s="295"/>
      <c r="W134" s="295"/>
      <c r="X134" s="295"/>
      <c r="Y134" s="296"/>
      <c r="AA134" s="313" t="str">
        <f>Translation!A150</f>
        <v>CO2 emissions from ETS installations included in the calculations for final use of energy</v>
      </c>
      <c r="AB134" s="313" t="str">
        <f>Translation!A151</f>
        <v>CO2 emissions from ETS installations included in the calculations for secondary energy production</v>
      </c>
    </row>
    <row r="135" spans="2:28" s="55" customFormat="1" ht="15" customHeight="1">
      <c r="B135" s="330"/>
      <c r="C135" s="294" t="str">
        <f>Translation!A98</f>
        <v>Fossil fuels</v>
      </c>
      <c r="D135" s="295"/>
      <c r="E135" s="295"/>
      <c r="F135" s="295"/>
      <c r="G135" s="295"/>
      <c r="H135" s="295"/>
      <c r="I135" s="296"/>
      <c r="J135" s="294" t="str">
        <f>Translation!A107</f>
        <v>Renewable energy sources</v>
      </c>
      <c r="K135" s="295"/>
      <c r="L135" s="295"/>
      <c r="M135" s="295"/>
      <c r="N135" s="295"/>
      <c r="O135" s="295"/>
      <c r="P135" s="295"/>
      <c r="Q135" s="295"/>
      <c r="R135" s="296"/>
      <c r="S135" s="300" t="str">
        <f>Translation!A123</f>
        <v>Electricity</v>
      </c>
      <c r="T135" s="301"/>
      <c r="U135" s="301"/>
      <c r="V135" s="302"/>
      <c r="W135" s="114" t="str">
        <f>Translation!A124</f>
        <v>Heat</v>
      </c>
      <c r="X135" s="114" t="str">
        <f>Translation!A125</f>
        <v>Cold</v>
      </c>
      <c r="Y135" s="275" t="str">
        <f>Translation!A118</f>
        <v>TOTAL</v>
      </c>
      <c r="AA135" s="314"/>
      <c r="AB135" s="314"/>
    </row>
    <row r="136" spans="2:28" s="55" customFormat="1" ht="90.75" customHeight="1">
      <c r="B136" s="331"/>
      <c r="C136" s="112" t="str">
        <f>Translation!A99</f>
        <v>Fueloil</v>
      </c>
      <c r="D136" s="112" t="str">
        <f>Translation!A100</f>
        <v>Diesel</v>
      </c>
      <c r="E136" s="112" t="str">
        <f>Translation!A101</f>
        <v>Gasoline</v>
      </c>
      <c r="F136" s="112" t="str">
        <f>Translation!A102</f>
        <v>LPG</v>
      </c>
      <c r="G136" s="112" t="str">
        <f>Translation!A103</f>
        <v>Natural gas</v>
      </c>
      <c r="H136" s="112" t="str">
        <f>Translation!A104</f>
        <v>Coal</v>
      </c>
      <c r="I136" s="112" t="str">
        <f>Translation!A116</f>
        <v>Subtotal</v>
      </c>
      <c r="J136" s="112" t="str">
        <f>Translation!A108</f>
        <v>Hydro</v>
      </c>
      <c r="K136" s="112" t="str">
        <f>Translation!A109</f>
        <v>Wind</v>
      </c>
      <c r="L136" s="112" t="str">
        <f>Translation!A110</f>
        <v>Solar</v>
      </c>
      <c r="M136" s="112" t="str">
        <f>Translation!A111</f>
        <v>Geothermal</v>
      </c>
      <c r="N136" s="112" t="str">
        <f>Translation!A112</f>
        <v>Ocean</v>
      </c>
      <c r="O136" s="112" t="str">
        <f>Translation!A113</f>
        <v>Biomass</v>
      </c>
      <c r="P136" s="112" t="str">
        <f>Translation!A114</f>
        <v>Urban waste</v>
      </c>
      <c r="Q136" s="112" t="str">
        <f>Translation!A115</f>
        <v>Energy recovery</v>
      </c>
      <c r="R136" s="112" t="str">
        <f>Translation!A116</f>
        <v>Subtotal</v>
      </c>
      <c r="S136" s="58" t="str">
        <f>Translation!A144</f>
        <v>Imported electricity (cable)</v>
      </c>
      <c r="T136" s="58" t="str">
        <f>Translation!A145</f>
        <v>Exported electricity (cable)</v>
      </c>
      <c r="U136" s="58" t="str">
        <f>Translation!A136</f>
        <v>Reexportation and external consumption</v>
      </c>
      <c r="V136" s="110" t="str">
        <f>Translation!A116</f>
        <v>Subtotal</v>
      </c>
      <c r="W136" s="110" t="str">
        <f>Translation!A136</f>
        <v>Reexportation and external consumption</v>
      </c>
      <c r="X136" s="110" t="str">
        <f>Translation!A136</f>
        <v>Reexportation and external consumption</v>
      </c>
      <c r="Y136" s="275"/>
      <c r="AA136" s="315"/>
      <c r="AB136" s="315"/>
    </row>
    <row r="137" spans="2:28" s="55" customFormat="1" ht="15.75">
      <c r="B137" s="113" t="str">
        <f>Translation!A118</f>
        <v>TOTAL</v>
      </c>
      <c r="C137" s="199">
        <f>'CO2 factors'!C$7*C76</f>
        <v>107.30452645852347</v>
      </c>
      <c r="D137" s="199">
        <f>'CO2 factors'!D$7*D76</f>
        <v>6863.512854357678</v>
      </c>
      <c r="E137" s="199">
        <f>'CO2 factors'!E$7*E76</f>
        <v>4854.79035</v>
      </c>
      <c r="F137" s="199">
        <f>'CO2 factors'!F$7*F76</f>
        <v>2.88</v>
      </c>
      <c r="G137" s="199">
        <f>'CO2 factors'!G$7*G76</f>
        <v>0</v>
      </c>
      <c r="H137" s="199">
        <f>'CO2 factors'!H$7*H76</f>
        <v>0</v>
      </c>
      <c r="I137" s="57">
        <f>SUM(C137:H137)</f>
        <v>11828.487730816201</v>
      </c>
      <c r="J137" s="199">
        <f>'CO2 factors'!J$7*J76</f>
        <v>0</v>
      </c>
      <c r="K137" s="199">
        <f>'CO2 factors'!K$7*K76</f>
        <v>0</v>
      </c>
      <c r="L137" s="199">
        <f>'CO2 factors'!L$7*L76</f>
        <v>0</v>
      </c>
      <c r="M137" s="199">
        <f>'CO2 factors'!M$7*M76</f>
        <v>0</v>
      </c>
      <c r="N137" s="199">
        <f>'CO2 factors'!N$7*N76</f>
        <v>0</v>
      </c>
      <c r="O137" s="199">
        <f>'CO2 factors'!O$7*O76</f>
        <v>0</v>
      </c>
      <c r="P137" s="199">
        <f>'CO2 factors'!P$7*P76</f>
        <v>0</v>
      </c>
      <c r="Q137" s="199">
        <f>'CO2 factors'!Q$7*Q76</f>
        <v>0</v>
      </c>
      <c r="R137" s="57">
        <f>SUM(J137:Q137)</f>
        <v>0</v>
      </c>
      <c r="S137" s="199">
        <f>'CO2 factors'!S$7*S76</f>
        <v>0</v>
      </c>
      <c r="T137" s="199">
        <f>'CO2 factors'!T$7*T76</f>
        <v>12339.161277291283</v>
      </c>
      <c r="U137" s="199">
        <f>$W$128*U76</f>
        <v>0</v>
      </c>
      <c r="V137" s="57">
        <f>S137-T137-U137</f>
        <v>-12339.161277291283</v>
      </c>
      <c r="W137" s="199">
        <f>$W$129*W76</f>
        <v>0</v>
      </c>
      <c r="X137" s="199">
        <f>$W$130*X76</f>
        <v>0</v>
      </c>
      <c r="Y137" s="57">
        <f>I137+R137+V137-W137-X137</f>
        <v>-510.6735464750818</v>
      </c>
      <c r="AA137" s="162"/>
      <c r="AB137" s="162"/>
    </row>
    <row r="138" s="55" customFormat="1" ht="15">
      <c r="B138" s="56"/>
    </row>
    <row r="139" spans="1:2" ht="15.75" customHeight="1">
      <c r="A139" s="152"/>
      <c r="B139" s="153"/>
    </row>
    <row r="140" spans="1:20" ht="18.75" customHeight="1">
      <c r="A140" s="151"/>
      <c r="B140" s="264" t="str">
        <f>Translation!A155</f>
        <v>Go to the next sheet dedicated to your Island Sustainable Energy Action Plan </v>
      </c>
      <c r="C140" s="254"/>
      <c r="D140" s="254"/>
      <c r="E140" s="254"/>
      <c r="F140" s="254"/>
      <c r="G140" s="254"/>
      <c r="H140" s="254"/>
      <c r="I140" s="254"/>
      <c r="J140" s="254"/>
      <c r="K140" s="254"/>
      <c r="L140" s="254"/>
      <c r="M140" s="254"/>
      <c r="N140" s="254"/>
      <c r="O140" s="254"/>
      <c r="P140" s="254"/>
      <c r="Q140" s="254"/>
      <c r="R140" s="254"/>
      <c r="S140" s="154"/>
      <c r="T140" s="154"/>
    </row>
    <row r="141" spans="1:20" ht="18.75" customHeight="1">
      <c r="A141" s="151"/>
      <c r="B141" s="155"/>
      <c r="C141" s="155"/>
      <c r="D141" s="155"/>
      <c r="E141" s="155"/>
      <c r="F141" s="155"/>
      <c r="G141" s="155"/>
      <c r="H141" s="155"/>
      <c r="I141" s="155"/>
      <c r="J141" s="155"/>
      <c r="K141" s="155"/>
      <c r="L141" s="155"/>
      <c r="M141" s="155"/>
      <c r="N141" s="155"/>
      <c r="O141" s="155"/>
      <c r="P141" s="155"/>
      <c r="Q141" s="155"/>
      <c r="R141" s="155"/>
      <c r="S141" s="154"/>
      <c r="T141" s="154"/>
    </row>
    <row r="142" spans="2:21" ht="12.75" customHeight="1">
      <c r="B142" s="281" t="str">
        <f>Translation!$A$211</f>
        <v>DISCLAIMER: The sole responsibility for the content of this document lies with the authors. It does not necessarily reflect the opinion of the European Communities. The European Commission is not responsible for any use that may be made of the information contained therein.</v>
      </c>
      <c r="C142" s="281"/>
      <c r="D142" s="281"/>
      <c r="E142" s="281"/>
      <c r="F142" s="281"/>
      <c r="G142" s="281"/>
      <c r="H142" s="281"/>
      <c r="I142" s="281"/>
      <c r="J142" s="281"/>
      <c r="K142" s="281"/>
      <c r="L142" s="281"/>
      <c r="M142" s="281"/>
      <c r="N142" s="281"/>
      <c r="O142" s="281"/>
      <c r="P142" s="281"/>
      <c r="Q142" s="281"/>
      <c r="R142" s="281"/>
      <c r="S142" s="281"/>
      <c r="T142" s="281"/>
      <c r="U142" s="281"/>
    </row>
    <row r="143" spans="2:21" ht="12.75" customHeight="1">
      <c r="B143" s="281"/>
      <c r="C143" s="281"/>
      <c r="D143" s="281"/>
      <c r="E143" s="281"/>
      <c r="F143" s="281"/>
      <c r="G143" s="281"/>
      <c r="H143" s="281"/>
      <c r="I143" s="281"/>
      <c r="J143" s="281"/>
      <c r="K143" s="281"/>
      <c r="L143" s="281"/>
      <c r="M143" s="281"/>
      <c r="N143" s="281"/>
      <c r="O143" s="281"/>
      <c r="P143" s="281"/>
      <c r="Q143" s="281"/>
      <c r="R143" s="281"/>
      <c r="S143" s="281"/>
      <c r="T143" s="281"/>
      <c r="U143" s="281"/>
    </row>
    <row r="144" spans="2:21" ht="12.75" customHeight="1">
      <c r="B144" s="281"/>
      <c r="C144" s="281"/>
      <c r="D144" s="281"/>
      <c r="E144" s="281"/>
      <c r="F144" s="281"/>
      <c r="G144" s="281"/>
      <c r="H144" s="281"/>
      <c r="I144" s="281"/>
      <c r="J144" s="281"/>
      <c r="K144" s="281"/>
      <c r="L144" s="281"/>
      <c r="M144" s="281"/>
      <c r="N144" s="281"/>
      <c r="O144" s="281"/>
      <c r="P144" s="281"/>
      <c r="Q144" s="281"/>
      <c r="R144" s="281"/>
      <c r="S144" s="281"/>
      <c r="T144" s="281"/>
      <c r="U144" s="281"/>
    </row>
  </sheetData>
  <sheetProtection/>
  <mergeCells count="70">
    <mergeCell ref="B140:R140"/>
    <mergeCell ref="B142:U144"/>
    <mergeCell ref="B125:B126"/>
    <mergeCell ref="B64:B65"/>
    <mergeCell ref="B73:B75"/>
    <mergeCell ref="B79:B80"/>
    <mergeCell ref="B134:B136"/>
    <mergeCell ref="U128:V128"/>
    <mergeCell ref="U129:V129"/>
    <mergeCell ref="U130:V130"/>
    <mergeCell ref="C125:S125"/>
    <mergeCell ref="U125:V127"/>
    <mergeCell ref="W125:W127"/>
    <mergeCell ref="C126:I126"/>
    <mergeCell ref="J126:R126"/>
    <mergeCell ref="S126:S127"/>
    <mergeCell ref="AA134:AA136"/>
    <mergeCell ref="AB134:AB136"/>
    <mergeCell ref="C135:I135"/>
    <mergeCell ref="J135:R135"/>
    <mergeCell ref="S135:V135"/>
    <mergeCell ref="Y135:Y136"/>
    <mergeCell ref="C134:Y134"/>
    <mergeCell ref="B88:B89"/>
    <mergeCell ref="C88:U88"/>
    <mergeCell ref="C89:F89"/>
    <mergeCell ref="G89:M89"/>
    <mergeCell ref="N89:T89"/>
    <mergeCell ref="U89:U90"/>
    <mergeCell ref="C80:I80"/>
    <mergeCell ref="J80:R80"/>
    <mergeCell ref="S80:S81"/>
    <mergeCell ref="C64:S64"/>
    <mergeCell ref="C65:I65"/>
    <mergeCell ref="J65:R65"/>
    <mergeCell ref="S65:S66"/>
    <mergeCell ref="C73:Y73"/>
    <mergeCell ref="C74:I74"/>
    <mergeCell ref="C79:S79"/>
    <mergeCell ref="B55:B56"/>
    <mergeCell ref="C55:S55"/>
    <mergeCell ref="T55:V55"/>
    <mergeCell ref="U56:U57"/>
    <mergeCell ref="V56:V57"/>
    <mergeCell ref="C56:I56"/>
    <mergeCell ref="J56:R56"/>
    <mergeCell ref="S56:S57"/>
    <mergeCell ref="Y56:Z56"/>
    <mergeCell ref="W55:AB55"/>
    <mergeCell ref="T64:T66"/>
    <mergeCell ref="J74:R74"/>
    <mergeCell ref="S74:V74"/>
    <mergeCell ref="Y74:Y75"/>
    <mergeCell ref="AC55:AC57"/>
    <mergeCell ref="AD55:AD57"/>
    <mergeCell ref="C8:D8"/>
    <mergeCell ref="S6:U6"/>
    <mergeCell ref="C10:J10"/>
    <mergeCell ref="T56:T57"/>
    <mergeCell ref="AB56:AB57"/>
    <mergeCell ref="AA56:AA57"/>
    <mergeCell ref="U15:U16"/>
    <mergeCell ref="W56:X56"/>
    <mergeCell ref="A1:U1"/>
    <mergeCell ref="B14:B15"/>
    <mergeCell ref="C14:U14"/>
    <mergeCell ref="C15:F15"/>
    <mergeCell ref="G15:M15"/>
    <mergeCell ref="N15:T15"/>
    <mergeCell ref="A4:U4"/>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30" r:id="rId2"/>
  <drawing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M96"/>
  <sheetViews>
    <sheetView showGridLines="0" showZeros="0" tabSelected="1" zoomScale="70" zoomScaleNormal="70" zoomScalePageLayoutView="0" workbookViewId="0" topLeftCell="A1">
      <selection activeCell="G90" sqref="G90"/>
    </sheetView>
  </sheetViews>
  <sheetFormatPr defaultColWidth="11.57421875" defaultRowHeight="15"/>
  <cols>
    <col min="1" max="1" width="6.7109375" style="21" customWidth="1"/>
    <col min="2" max="2" width="35.57421875" style="21" customWidth="1"/>
    <col min="3" max="3" width="57.7109375" style="21" customWidth="1"/>
    <col min="4" max="4" width="26.28125" style="21" customWidth="1"/>
    <col min="5" max="6" width="12.00390625" style="21" customWidth="1"/>
    <col min="7" max="13" width="18.57421875" style="21" customWidth="1"/>
    <col min="14" max="251" width="11.421875" style="21" customWidth="1"/>
    <col min="252" max="252" width="3.28125" style="21" customWidth="1"/>
    <col min="253" max="253" width="56.140625" style="21" customWidth="1"/>
    <col min="254" max="254" width="13.00390625" style="21" customWidth="1"/>
    <col min="255" max="255" width="12.7109375" style="21" customWidth="1"/>
    <col min="256" max="16384" width="11.57421875" style="21" customWidth="1"/>
  </cols>
  <sheetData>
    <row r="1" spans="1:13" ht="116.25" customHeight="1">
      <c r="A1" s="271" t="str">
        <f>Translation!$A$31</f>
        <v>Island  Sustainable Energy Action Plan (ISEAP)</v>
      </c>
      <c r="B1" s="271"/>
      <c r="C1" s="271"/>
      <c r="D1" s="271"/>
      <c r="E1" s="271"/>
      <c r="F1" s="271"/>
      <c r="G1" s="271"/>
      <c r="H1" s="271"/>
      <c r="I1" s="271"/>
      <c r="J1" s="271"/>
      <c r="K1" s="271"/>
      <c r="L1" s="271"/>
      <c r="M1" s="271"/>
    </row>
    <row r="2" spans="1:13" ht="28.5" customHeight="1">
      <c r="A2" s="81"/>
      <c r="B2" s="267" t="s">
        <v>547</v>
      </c>
      <c r="C2" s="267"/>
      <c r="D2" s="83" t="str">
        <f>Translation!$A$10</f>
        <v>Island</v>
      </c>
      <c r="E2" s="84" t="str">
        <f>'Start here'!$B$5</f>
        <v>Hiiumaa</v>
      </c>
      <c r="F2" s="85"/>
      <c r="G2" s="85"/>
      <c r="H2" s="86"/>
      <c r="I2" s="86"/>
      <c r="J2" s="86"/>
      <c r="K2" s="86"/>
      <c r="L2" s="86"/>
      <c r="M2" s="86"/>
    </row>
    <row r="3" spans="1:13" ht="38.25" customHeight="1">
      <c r="A3" s="22"/>
      <c r="B3" s="23"/>
      <c r="C3" s="24"/>
      <c r="E3" s="25"/>
      <c r="F3" s="25"/>
      <c r="H3" s="26"/>
      <c r="L3" s="27"/>
      <c r="M3" s="27"/>
    </row>
    <row r="4" spans="1:13" ht="15.75">
      <c r="A4" s="29"/>
      <c r="B4" s="30"/>
      <c r="L4" s="357" t="str">
        <f>Translation!$A$53</f>
        <v>Mandatory fields</v>
      </c>
      <c r="M4" s="357"/>
    </row>
    <row r="5" spans="1:13" s="106" customFormat="1" ht="72">
      <c r="A5" s="117" t="s">
        <v>1089</v>
      </c>
      <c r="B5" s="354" t="str">
        <f>Translation!A156</f>
        <v>TITLE OF ISLAND SUSTAINABLE ENERGY ACTION PLAN</v>
      </c>
      <c r="C5" s="354"/>
      <c r="D5" s="354"/>
      <c r="E5" s="354"/>
      <c r="F5" s="354"/>
      <c r="G5" s="354"/>
      <c r="H5" s="354"/>
      <c r="I5" s="354"/>
      <c r="J5" s="354"/>
      <c r="K5" s="354"/>
      <c r="L5" s="354"/>
      <c r="M5" s="354"/>
    </row>
    <row r="6" spans="1:13" ht="34.5" customHeight="1">
      <c r="A6" s="28"/>
      <c r="B6" s="349" t="s">
        <v>558</v>
      </c>
      <c r="C6" s="350"/>
      <c r="D6" s="350"/>
      <c r="E6" s="350"/>
      <c r="F6" s="350"/>
      <c r="G6" s="350"/>
      <c r="H6" s="350"/>
      <c r="I6" s="350"/>
      <c r="J6" s="350"/>
      <c r="K6" s="350"/>
      <c r="L6" s="350"/>
      <c r="M6" s="351"/>
    </row>
    <row r="7" spans="1:2" ht="15.75" customHeight="1">
      <c r="A7" s="29"/>
      <c r="B7" s="30"/>
    </row>
    <row r="8" spans="1:13" ht="21.75" customHeight="1">
      <c r="A8" s="29"/>
      <c r="E8" s="31"/>
      <c r="F8" s="46" t="str">
        <f>Translation!A158</f>
        <v>Authority approving the plan</v>
      </c>
      <c r="G8" s="355" t="s">
        <v>1064</v>
      </c>
      <c r="H8" s="355"/>
      <c r="I8" s="355"/>
      <c r="J8" s="355"/>
      <c r="L8" s="32" t="str">
        <f>Translation!A157</f>
        <v>Date of formal approval</v>
      </c>
      <c r="M8" s="163"/>
    </row>
    <row r="9" spans="1:2" ht="15.75">
      <c r="A9" s="29"/>
      <c r="B9" s="30"/>
    </row>
    <row r="10" spans="1:13" s="106" customFormat="1" ht="36" customHeight="1">
      <c r="A10" s="105" t="s">
        <v>1093</v>
      </c>
      <c r="B10" s="356" t="str">
        <f>Translation!A159</f>
        <v>KEY ELEMENTS OF ISLAND SUSTAINABLE ENERGY ACTION PLAN</v>
      </c>
      <c r="C10" s="356"/>
      <c r="D10" s="356"/>
      <c r="E10" s="356"/>
      <c r="F10" s="356"/>
      <c r="G10" s="356"/>
      <c r="H10" s="356"/>
      <c r="I10" s="356"/>
      <c r="J10" s="356"/>
      <c r="K10" s="356"/>
      <c r="L10" s="356"/>
      <c r="M10" s="356"/>
    </row>
    <row r="11" spans="2:13" s="33" customFormat="1" ht="68.25" customHeight="1">
      <c r="B11" s="352" t="str">
        <f>Translation!A160</f>
        <v>SECTORS AND FIELDS OF ACTION</v>
      </c>
      <c r="C11" s="352" t="str">
        <f>Translation!A161</f>
        <v>ACTIONS
(one line per action - insert lines if necessary; exclude ETS actions)</v>
      </c>
      <c r="D11" s="352" t="str">
        <f>Translation!A162</f>
        <v>RESPONSIBLE FOR IMPLEMENTATION</v>
      </c>
      <c r="E11" s="358" t="str">
        <f>Translation!A163</f>
        <v>IMPLEMENTATION SCHEDULE</v>
      </c>
      <c r="F11" s="359"/>
      <c r="G11" s="352" t="str">
        <f>Translation!A166</f>
        <v>ESTIMATED INVESTMENT COSTS [euro]</v>
      </c>
      <c r="H11" s="352" t="str">
        <f>Translation!A167</f>
        <v>EXPECTED ENERGY SAVINGS [MWh/year]</v>
      </c>
      <c r="I11" s="352" t="str">
        <f>Translation!A168</f>
        <v>EXPECTED RENEWABLE ENERGY PRODUCTION [MWh/year]</v>
      </c>
      <c r="J11" s="352" t="str">
        <f>Translation!A169</f>
        <v>EXPECTED CO2 REDUCTION [ton/year]</v>
      </c>
      <c r="K11" s="352" t="str">
        <f>Translation!A170</f>
        <v>ENERGY SAVINGS TARGET IN 2020 [MWh/year]</v>
      </c>
      <c r="L11" s="352" t="str">
        <f>Translation!A171</f>
        <v>RENEWABLE ENERGY PRODUCTION TARGET IN 2020 [MWh/year]</v>
      </c>
      <c r="M11" s="352" t="str">
        <f>Translation!A172</f>
        <v>CO2 REDUCTION TARGET IN 2020 [ton/year]</v>
      </c>
    </row>
    <row r="12" spans="2:13" s="33" customFormat="1" ht="31.5" customHeight="1">
      <c r="B12" s="353"/>
      <c r="C12" s="353"/>
      <c r="D12" s="353"/>
      <c r="E12" s="34" t="str">
        <f>Translation!A164</f>
        <v>Starting year</v>
      </c>
      <c r="F12" s="34" t="str">
        <f>Translation!A165</f>
        <v>Ending year</v>
      </c>
      <c r="G12" s="353"/>
      <c r="H12" s="353"/>
      <c r="I12" s="353"/>
      <c r="J12" s="353"/>
      <c r="K12" s="353"/>
      <c r="L12" s="353"/>
      <c r="M12" s="353"/>
    </row>
    <row r="13" spans="2:13" s="33" customFormat="1" ht="15">
      <c r="B13" s="208" t="str">
        <f>Translation!A59</f>
        <v>RESIDENTIAL</v>
      </c>
      <c r="C13" s="209"/>
      <c r="D13" s="209"/>
      <c r="E13" s="210"/>
      <c r="F13" s="210"/>
      <c r="G13" s="211"/>
      <c r="H13" s="211"/>
      <c r="I13" s="211"/>
      <c r="J13" s="211"/>
      <c r="K13" s="211"/>
      <c r="L13" s="211"/>
      <c r="M13" s="211"/>
    </row>
    <row r="14" spans="2:13" s="33" customFormat="1" ht="45">
      <c r="B14" s="360" t="str">
        <f>Translation!A60</f>
        <v>Domestic uses</v>
      </c>
      <c r="C14" s="223" t="s">
        <v>557</v>
      </c>
      <c r="D14" s="16" t="s">
        <v>1066</v>
      </c>
      <c r="E14" s="17">
        <v>2012</v>
      </c>
      <c r="F14" s="18">
        <v>2020</v>
      </c>
      <c r="G14" s="19">
        <f>100*10000+500*2000</f>
        <v>2000000</v>
      </c>
      <c r="H14" s="19">
        <v>-2177</v>
      </c>
      <c r="I14" s="19">
        <v>11270</v>
      </c>
      <c r="J14" s="231">
        <v>6883</v>
      </c>
      <c r="K14" s="335">
        <f>SUM(H14:H18)</f>
        <v>1079</v>
      </c>
      <c r="L14" s="335">
        <f>SUM(I14:I18)</f>
        <v>11322</v>
      </c>
      <c r="M14" s="332">
        <f>SUM(J14:J18)</f>
        <v>7898</v>
      </c>
    </row>
    <row r="15" spans="2:13" s="33" customFormat="1" ht="30">
      <c r="B15" s="361"/>
      <c r="C15" s="223" t="s">
        <v>1067</v>
      </c>
      <c r="D15" s="16" t="s">
        <v>1066</v>
      </c>
      <c r="E15" s="17">
        <v>2012</v>
      </c>
      <c r="F15" s="18">
        <v>2020</v>
      </c>
      <c r="G15" s="19">
        <f>2500*10000</f>
        <v>25000000</v>
      </c>
      <c r="H15" s="19">
        <v>1284</v>
      </c>
      <c r="I15" s="19">
        <v>0</v>
      </c>
      <c r="J15" s="231">
        <v>352</v>
      </c>
      <c r="K15" s="336"/>
      <c r="L15" s="336"/>
      <c r="M15" s="333"/>
    </row>
    <row r="16" spans="2:13" s="33" customFormat="1" ht="60">
      <c r="B16" s="361"/>
      <c r="C16" s="223" t="s">
        <v>551</v>
      </c>
      <c r="D16" s="16" t="s">
        <v>1066</v>
      </c>
      <c r="E16" s="17">
        <v>2012</v>
      </c>
      <c r="F16" s="18">
        <v>2020</v>
      </c>
      <c r="G16" s="19">
        <f>H16*1000*0.1*4</f>
        <v>788800</v>
      </c>
      <c r="H16" s="19">
        <v>1972</v>
      </c>
      <c r="I16" s="19"/>
      <c r="J16" s="231">
        <v>663</v>
      </c>
      <c r="K16" s="336"/>
      <c r="L16" s="336"/>
      <c r="M16" s="333"/>
    </row>
    <row r="17" spans="2:13" s="33" customFormat="1" ht="45">
      <c r="B17" s="362"/>
      <c r="C17" s="223" t="s">
        <v>690</v>
      </c>
      <c r="D17" s="16" t="s">
        <v>1066</v>
      </c>
      <c r="E17" s="17">
        <v>2014</v>
      </c>
      <c r="F17" s="18">
        <v>2020</v>
      </c>
      <c r="G17" s="19">
        <f>20*10000</f>
        <v>200000</v>
      </c>
      <c r="H17" s="19"/>
      <c r="I17" s="19">
        <v>52</v>
      </c>
      <c r="J17" s="19"/>
      <c r="K17" s="336"/>
      <c r="L17" s="336"/>
      <c r="M17" s="333"/>
    </row>
    <row r="18" spans="2:13" s="33" customFormat="1" ht="7.5" customHeight="1">
      <c r="B18" s="35"/>
      <c r="C18" s="16"/>
      <c r="D18" s="16"/>
      <c r="E18" s="17"/>
      <c r="F18" s="18"/>
      <c r="G18" s="19"/>
      <c r="H18" s="19"/>
      <c r="I18" s="19"/>
      <c r="J18" s="19"/>
      <c r="K18" s="337"/>
      <c r="L18" s="337"/>
      <c r="M18" s="334"/>
    </row>
    <row r="19" spans="2:13" s="33" customFormat="1" ht="15">
      <c r="B19" s="208" t="str">
        <f>Translation!A69</f>
        <v>PRIMARY SECTOR</v>
      </c>
      <c r="C19" s="209"/>
      <c r="D19" s="209"/>
      <c r="E19" s="210"/>
      <c r="F19" s="210"/>
      <c r="G19" s="211"/>
      <c r="H19" s="211"/>
      <c r="I19" s="211"/>
      <c r="J19" s="211"/>
      <c r="K19" s="211"/>
      <c r="L19" s="211"/>
      <c r="M19" s="211"/>
    </row>
    <row r="20" spans="2:13" s="33" customFormat="1" ht="15">
      <c r="B20" s="35" t="str">
        <f>Translation!A70</f>
        <v>Agriculture, forestry and fishing</v>
      </c>
      <c r="C20" s="223"/>
      <c r="D20" s="224"/>
      <c r="E20" s="225"/>
      <c r="F20" s="226"/>
      <c r="G20" s="19"/>
      <c r="H20" s="19"/>
      <c r="I20" s="19"/>
      <c r="J20" s="19"/>
      <c r="K20" s="335">
        <f>SUM(H20:H22)</f>
        <v>0</v>
      </c>
      <c r="L20" s="335">
        <f>SUM(I20:I22)</f>
        <v>0</v>
      </c>
      <c r="M20" s="332">
        <f>SUM(J20:J22)</f>
        <v>0</v>
      </c>
    </row>
    <row r="21" spans="2:13" s="33" customFormat="1" ht="15" hidden="1">
      <c r="B21" s="35" t="str">
        <f>Translation!A71</f>
        <v>Mining and quarrying</v>
      </c>
      <c r="C21" s="16"/>
      <c r="D21" s="16"/>
      <c r="E21" s="17"/>
      <c r="F21" s="18"/>
      <c r="G21" s="19"/>
      <c r="H21" s="19"/>
      <c r="I21" s="19"/>
      <c r="J21" s="19"/>
      <c r="K21" s="336"/>
      <c r="L21" s="336"/>
      <c r="M21" s="333"/>
    </row>
    <row r="22" spans="2:13" s="33" customFormat="1" ht="7.5" customHeight="1">
      <c r="B22" s="35"/>
      <c r="C22" s="16"/>
      <c r="D22" s="16"/>
      <c r="E22" s="17"/>
      <c r="F22" s="18"/>
      <c r="G22" s="19"/>
      <c r="H22" s="19"/>
      <c r="I22" s="19"/>
      <c r="J22" s="19"/>
      <c r="K22" s="337"/>
      <c r="L22" s="337"/>
      <c r="M22" s="334"/>
    </row>
    <row r="23" spans="2:13" s="33" customFormat="1" ht="15">
      <c r="B23" s="208" t="str">
        <f>Translation!A72</f>
        <v>SECONDARY SECTOR</v>
      </c>
      <c r="C23" s="209"/>
      <c r="D23" s="209"/>
      <c r="E23" s="210"/>
      <c r="F23" s="210"/>
      <c r="G23" s="211"/>
      <c r="H23" s="211"/>
      <c r="I23" s="211"/>
      <c r="J23" s="211"/>
      <c r="K23" s="211"/>
      <c r="L23" s="211"/>
      <c r="M23" s="211"/>
    </row>
    <row r="24" spans="2:13" s="33" customFormat="1" ht="30">
      <c r="B24" s="338" t="str">
        <f>Translation!A73</f>
        <v>Manufacturing</v>
      </c>
      <c r="C24" s="223" t="s">
        <v>550</v>
      </c>
      <c r="D24" s="223" t="s">
        <v>1072</v>
      </c>
      <c r="E24" s="17">
        <v>2012</v>
      </c>
      <c r="F24" s="18">
        <v>2020</v>
      </c>
      <c r="G24" s="19">
        <f>25*15000+5*10000</f>
        <v>425000</v>
      </c>
      <c r="H24" s="19">
        <v>-154</v>
      </c>
      <c r="I24" s="19">
        <v>740</v>
      </c>
      <c r="J24" s="231">
        <v>808</v>
      </c>
      <c r="K24" s="335">
        <f>SUM(H24:H28)</f>
        <v>1211</v>
      </c>
      <c r="L24" s="335">
        <f>SUM(I24:I28)</f>
        <v>740</v>
      </c>
      <c r="M24" s="332">
        <f>SUM(J24:J28)</f>
        <v>1427</v>
      </c>
    </row>
    <row r="25" spans="2:13" s="33" customFormat="1" ht="60">
      <c r="B25" s="340"/>
      <c r="C25" s="223" t="s">
        <v>551</v>
      </c>
      <c r="D25" s="223" t="s">
        <v>1072</v>
      </c>
      <c r="E25" s="17">
        <v>2012</v>
      </c>
      <c r="F25" s="18">
        <v>2020</v>
      </c>
      <c r="G25" s="19">
        <f>H25*1000*0.1*4</f>
        <v>546000</v>
      </c>
      <c r="H25" s="19">
        <v>1365</v>
      </c>
      <c r="I25" s="19">
        <v>0</v>
      </c>
      <c r="J25" s="231">
        <v>619</v>
      </c>
      <c r="K25" s="336"/>
      <c r="L25" s="336"/>
      <c r="M25" s="333"/>
    </row>
    <row r="26" spans="2:13" s="33" customFormat="1" ht="45">
      <c r="B26" s="35" t="str">
        <f>Translation!A74</f>
        <v>Water supply, sewerage, waste management and remediation activities</v>
      </c>
      <c r="C26" s="16"/>
      <c r="D26" s="16"/>
      <c r="E26" s="17"/>
      <c r="F26" s="18"/>
      <c r="G26" s="19"/>
      <c r="H26" s="19"/>
      <c r="I26" s="19"/>
      <c r="J26" s="19"/>
      <c r="K26" s="336"/>
      <c r="L26" s="336"/>
      <c r="M26" s="333"/>
    </row>
    <row r="27" spans="2:13" s="33" customFormat="1" ht="43.5" customHeight="1">
      <c r="B27" s="35" t="str">
        <f>Translation!A75</f>
        <v>Construction</v>
      </c>
      <c r="C27" s="16"/>
      <c r="D27" s="16"/>
      <c r="E27" s="17"/>
      <c r="F27" s="18"/>
      <c r="G27" s="19"/>
      <c r="H27" s="19"/>
      <c r="I27" s="19"/>
      <c r="J27" s="19"/>
      <c r="K27" s="336"/>
      <c r="L27" s="336"/>
      <c r="M27" s="333"/>
    </row>
    <row r="28" spans="2:13" s="33" customFormat="1" ht="7.5" customHeight="1">
      <c r="B28" s="35"/>
      <c r="C28" s="16"/>
      <c r="D28" s="16"/>
      <c r="E28" s="17"/>
      <c r="F28" s="18"/>
      <c r="G28" s="19"/>
      <c r="H28" s="19"/>
      <c r="I28" s="19"/>
      <c r="J28" s="19"/>
      <c r="K28" s="337"/>
      <c r="L28" s="337"/>
      <c r="M28" s="334"/>
    </row>
    <row r="29" spans="2:13" s="33" customFormat="1" ht="15">
      <c r="B29" s="208" t="str">
        <f>Translation!A76</f>
        <v>TERTIARY SECTOR</v>
      </c>
      <c r="C29" s="209"/>
      <c r="D29" s="209"/>
      <c r="E29" s="210"/>
      <c r="F29" s="210"/>
      <c r="G29" s="211"/>
      <c r="H29" s="211"/>
      <c r="I29" s="211"/>
      <c r="J29" s="211"/>
      <c r="K29" s="211"/>
      <c r="L29" s="211"/>
      <c r="M29" s="211"/>
    </row>
    <row r="30" spans="2:13" s="33" customFormat="1" ht="45">
      <c r="B30" s="338" t="str">
        <f>Translation!A77</f>
        <v>Trade, service and tourism</v>
      </c>
      <c r="C30" s="223" t="s">
        <v>557</v>
      </c>
      <c r="D30" s="223" t="s">
        <v>1072</v>
      </c>
      <c r="E30" s="17">
        <v>2012</v>
      </c>
      <c r="F30" s="18">
        <v>2020</v>
      </c>
      <c r="G30" s="19">
        <f>50*25000+5*10000</f>
        <v>1300000</v>
      </c>
      <c r="H30" s="19">
        <v>-588</v>
      </c>
      <c r="I30" s="19">
        <v>3080</v>
      </c>
      <c r="J30" s="231">
        <v>1810</v>
      </c>
      <c r="K30" s="335">
        <f>SUM(H30:H37)</f>
        <v>2704</v>
      </c>
      <c r="L30" s="335">
        <f>SUM(I30:I37)</f>
        <v>3804</v>
      </c>
      <c r="M30" s="332">
        <f>SUM(J30:J37)</f>
        <v>3941</v>
      </c>
    </row>
    <row r="31" spans="2:13" s="33" customFormat="1" ht="30">
      <c r="B31" s="339"/>
      <c r="C31" s="16" t="s">
        <v>1067</v>
      </c>
      <c r="D31" s="223" t="s">
        <v>1072</v>
      </c>
      <c r="E31" s="17">
        <v>2012</v>
      </c>
      <c r="F31" s="18">
        <v>2020</v>
      </c>
      <c r="G31" s="19">
        <f>50*100000</f>
        <v>5000000</v>
      </c>
      <c r="H31" s="19">
        <v>1118</v>
      </c>
      <c r="I31" s="19"/>
      <c r="J31" s="231">
        <v>482</v>
      </c>
      <c r="K31" s="336"/>
      <c r="L31" s="336"/>
      <c r="M31" s="333"/>
    </row>
    <row r="32" spans="2:13" s="33" customFormat="1" ht="60">
      <c r="B32" s="340"/>
      <c r="C32" s="223" t="s">
        <v>551</v>
      </c>
      <c r="D32" s="223" t="s">
        <v>1072</v>
      </c>
      <c r="E32" s="17">
        <v>2012</v>
      </c>
      <c r="F32" s="18">
        <v>2020</v>
      </c>
      <c r="G32" s="19">
        <f>H32*1000*0.1*4</f>
        <v>447200</v>
      </c>
      <c r="H32" s="19">
        <v>1118</v>
      </c>
      <c r="I32" s="19"/>
      <c r="J32" s="231">
        <v>482</v>
      </c>
      <c r="K32" s="336"/>
      <c r="L32" s="336"/>
      <c r="M32" s="333"/>
    </row>
    <row r="33" spans="2:13" s="33" customFormat="1" ht="45">
      <c r="B33" s="338" t="str">
        <f>Translation!A78</f>
        <v>Public administration, schools and kindergardens</v>
      </c>
      <c r="C33" s="223" t="s">
        <v>557</v>
      </c>
      <c r="D33" s="223" t="s">
        <v>1072</v>
      </c>
      <c r="E33" s="17">
        <v>2012</v>
      </c>
      <c r="F33" s="18">
        <v>2020</v>
      </c>
      <c r="G33" s="19">
        <f>10*15000+10*10000</f>
        <v>250000</v>
      </c>
      <c r="H33" s="19">
        <v>-181</v>
      </c>
      <c r="I33" s="19">
        <v>724</v>
      </c>
      <c r="J33" s="231">
        <v>777</v>
      </c>
      <c r="K33" s="336"/>
      <c r="L33" s="336"/>
      <c r="M33" s="333"/>
    </row>
    <row r="34" spans="2:13" s="33" customFormat="1" ht="30">
      <c r="B34" s="339"/>
      <c r="C34" s="16" t="s">
        <v>1067</v>
      </c>
      <c r="D34" s="223" t="s">
        <v>1072</v>
      </c>
      <c r="E34" s="17">
        <v>2012</v>
      </c>
      <c r="F34" s="18">
        <v>2020</v>
      </c>
      <c r="G34" s="19">
        <f>25*100000</f>
        <v>2500000</v>
      </c>
      <c r="H34" s="19">
        <v>529</v>
      </c>
      <c r="I34" s="19"/>
      <c r="J34" s="231">
        <v>149</v>
      </c>
      <c r="K34" s="336"/>
      <c r="L34" s="336"/>
      <c r="M34" s="333"/>
    </row>
    <row r="35" spans="2:13" s="33" customFormat="1" ht="60">
      <c r="B35" s="340"/>
      <c r="C35" s="223" t="s">
        <v>551</v>
      </c>
      <c r="D35" s="223" t="s">
        <v>1072</v>
      </c>
      <c r="E35" s="17">
        <v>2012</v>
      </c>
      <c r="F35" s="18">
        <v>2020</v>
      </c>
      <c r="G35" s="19">
        <f>H35*1000*0.1*4</f>
        <v>211600</v>
      </c>
      <c r="H35" s="19">
        <v>529</v>
      </c>
      <c r="I35" s="19"/>
      <c r="J35" s="231">
        <v>149</v>
      </c>
      <c r="K35" s="336"/>
      <c r="L35" s="336"/>
      <c r="M35" s="333"/>
    </row>
    <row r="36" spans="2:13" s="33" customFormat="1" ht="30">
      <c r="B36" s="228" t="str">
        <f>Translation!A79</f>
        <v>Other services</v>
      </c>
      <c r="C36" s="223" t="s">
        <v>1071</v>
      </c>
      <c r="D36" s="223" t="s">
        <v>562</v>
      </c>
      <c r="E36" s="17">
        <v>2012</v>
      </c>
      <c r="F36" s="18">
        <v>2020</v>
      </c>
      <c r="G36" s="19">
        <f>H36*1000*0.1*4</f>
        <v>71600</v>
      </c>
      <c r="H36" s="19">
        <v>179</v>
      </c>
      <c r="I36" s="19"/>
      <c r="J36" s="19">
        <v>92</v>
      </c>
      <c r="K36" s="336"/>
      <c r="L36" s="336"/>
      <c r="M36" s="333"/>
    </row>
    <row r="37" spans="2:13" s="33" customFormat="1" ht="7.5" customHeight="1">
      <c r="B37" s="35"/>
      <c r="C37" s="16"/>
      <c r="D37" s="16"/>
      <c r="E37" s="17"/>
      <c r="F37" s="18"/>
      <c r="G37" s="19"/>
      <c r="H37" s="19"/>
      <c r="I37" s="19"/>
      <c r="J37" s="19"/>
      <c r="K37" s="337"/>
      <c r="L37" s="337"/>
      <c r="M37" s="334"/>
    </row>
    <row r="38" spans="2:13" s="33" customFormat="1" ht="15">
      <c r="B38" s="208" t="str">
        <f>Translation!A85</f>
        <v>TRANSPORTS</v>
      </c>
      <c r="C38" s="209"/>
      <c r="D38" s="209"/>
      <c r="E38" s="210"/>
      <c r="F38" s="210"/>
      <c r="G38" s="211"/>
      <c r="H38" s="211"/>
      <c r="I38" s="211"/>
      <c r="J38" s="211"/>
      <c r="K38" s="211"/>
      <c r="L38" s="211"/>
      <c r="M38" s="211"/>
    </row>
    <row r="39" spans="2:13" s="33" customFormat="1" ht="45">
      <c r="B39" s="35" t="str">
        <f>Translation!A86</f>
        <v>Passenger road transport (public transports, taxi, tourism, school buses, etc.)</v>
      </c>
      <c r="C39" s="223" t="s">
        <v>691</v>
      </c>
      <c r="D39" s="223" t="s">
        <v>1072</v>
      </c>
      <c r="E39" s="17">
        <v>2015</v>
      </c>
      <c r="F39" s="18">
        <v>2020</v>
      </c>
      <c r="G39" s="19">
        <v>2500</v>
      </c>
      <c r="H39" s="19"/>
      <c r="I39" s="19">
        <v>555</v>
      </c>
      <c r="J39" s="19">
        <v>148</v>
      </c>
      <c r="K39" s="335">
        <f>SUM(H39:H42)</f>
        <v>1986</v>
      </c>
      <c r="L39" s="335">
        <f>SUM(I39:I42)</f>
        <v>555</v>
      </c>
      <c r="M39" s="332">
        <f>SUM(J39:J42)</f>
        <v>599</v>
      </c>
    </row>
    <row r="40" spans="2:13" s="33" customFormat="1" ht="30">
      <c r="B40" s="35" t="str">
        <f>Translation!A87</f>
        <v>Freight transport by road and removal services</v>
      </c>
      <c r="C40" s="16"/>
      <c r="D40" s="16"/>
      <c r="E40" s="17"/>
      <c r="F40" s="18"/>
      <c r="G40" s="19"/>
      <c r="H40" s="19"/>
      <c r="I40" s="19"/>
      <c r="J40" s="19"/>
      <c r="K40" s="336"/>
      <c r="L40" s="336"/>
      <c r="M40" s="333"/>
    </row>
    <row r="41" spans="2:13" s="33" customFormat="1" ht="45">
      <c r="B41" s="228" t="str">
        <f>Translation!A88</f>
        <v>Other fleet for public and private services, and private transports</v>
      </c>
      <c r="C41" s="223" t="s">
        <v>1351</v>
      </c>
      <c r="D41" s="223" t="s">
        <v>555</v>
      </c>
      <c r="E41" s="17">
        <v>2012</v>
      </c>
      <c r="F41" s="18">
        <v>2020</v>
      </c>
      <c r="G41" s="19">
        <f>500*350+250*650+250*1000+125*25000</f>
        <v>3712500</v>
      </c>
      <c r="H41" s="19">
        <v>1986</v>
      </c>
      <c r="I41" s="19"/>
      <c r="J41" s="19">
        <v>451</v>
      </c>
      <c r="K41" s="336"/>
      <c r="L41" s="336"/>
      <c r="M41" s="333"/>
    </row>
    <row r="42" spans="2:13" s="33" customFormat="1" ht="7.5" customHeight="1">
      <c r="B42" s="35"/>
      <c r="C42" s="16"/>
      <c r="D42" s="16"/>
      <c r="E42" s="17"/>
      <c r="F42" s="18"/>
      <c r="G42" s="19"/>
      <c r="H42" s="19"/>
      <c r="I42" s="19"/>
      <c r="J42" s="19"/>
      <c r="K42" s="337"/>
      <c r="L42" s="337"/>
      <c r="M42" s="334"/>
    </row>
    <row r="43" spans="2:13" s="33" customFormat="1" ht="15">
      <c r="B43" s="208" t="str">
        <f>Translation!$A$173</f>
        <v>SECONDARY ENERGY PRODUCTION AND ENERGY FLUXES</v>
      </c>
      <c r="C43" s="209"/>
      <c r="D43" s="209"/>
      <c r="E43" s="210"/>
      <c r="F43" s="210"/>
      <c r="G43" s="211"/>
      <c r="H43" s="211"/>
      <c r="I43" s="211"/>
      <c r="J43" s="211"/>
      <c r="K43" s="211"/>
      <c r="L43" s="211"/>
      <c r="M43" s="211"/>
    </row>
    <row r="44" spans="2:13" s="33" customFormat="1" ht="15" hidden="1">
      <c r="B44" s="35" t="str">
        <f>Translation!$A$174</f>
        <v>Electricity (non-renewable)</v>
      </c>
      <c r="C44" s="16"/>
      <c r="D44" s="16"/>
      <c r="E44" s="17"/>
      <c r="F44" s="18"/>
      <c r="G44" s="19"/>
      <c r="H44" s="19"/>
      <c r="I44" s="19"/>
      <c r="J44" s="19"/>
      <c r="K44" s="335">
        <f>SUM(H44:H59)</f>
        <v>0</v>
      </c>
      <c r="L44" s="335">
        <f>SUM(I44:I59)</f>
        <v>77304</v>
      </c>
      <c r="M44" s="332">
        <f>SUM(J44:J59)</f>
        <v>26680</v>
      </c>
    </row>
    <row r="45" spans="2:13" s="33" customFormat="1" ht="15" hidden="1">
      <c r="B45" s="35" t="str">
        <f>Translation!$A$175</f>
        <v>Heat (non-renewable)</v>
      </c>
      <c r="C45" s="16"/>
      <c r="D45" s="16"/>
      <c r="E45" s="17"/>
      <c r="F45" s="18"/>
      <c r="G45" s="19"/>
      <c r="H45" s="19"/>
      <c r="I45" s="19"/>
      <c r="J45" s="19"/>
      <c r="K45" s="336"/>
      <c r="L45" s="336"/>
      <c r="M45" s="333"/>
    </row>
    <row r="46" spans="2:13" s="33" customFormat="1" ht="15" hidden="1">
      <c r="B46" s="35" t="str">
        <f>Translation!$A$176</f>
        <v>Cold (non-renewable)</v>
      </c>
      <c r="C46" s="16"/>
      <c r="D46" s="16"/>
      <c r="E46" s="17"/>
      <c r="F46" s="18"/>
      <c r="G46" s="19"/>
      <c r="H46" s="19"/>
      <c r="I46" s="19"/>
      <c r="J46" s="19"/>
      <c r="K46" s="336"/>
      <c r="L46" s="336"/>
      <c r="M46" s="333"/>
    </row>
    <row r="47" spans="2:13" s="33" customFormat="1" ht="15" hidden="1">
      <c r="B47" s="35" t="str">
        <f>Translation!$A$177</f>
        <v>Hydro</v>
      </c>
      <c r="C47" s="16"/>
      <c r="D47" s="16"/>
      <c r="E47" s="17"/>
      <c r="F47" s="18"/>
      <c r="G47" s="19"/>
      <c r="H47" s="19"/>
      <c r="I47" s="19"/>
      <c r="J47" s="19"/>
      <c r="K47" s="336"/>
      <c r="L47" s="336"/>
      <c r="M47" s="333"/>
    </row>
    <row r="48" spans="2:13" s="33" customFormat="1" ht="45">
      <c r="B48" s="35" t="str">
        <f>Translation!$A$178</f>
        <v>Wind</v>
      </c>
      <c r="C48" s="227" t="s">
        <v>1084</v>
      </c>
      <c r="D48" s="223" t="s">
        <v>563</v>
      </c>
      <c r="E48" s="17">
        <v>2016</v>
      </c>
      <c r="F48" s="18">
        <v>2020</v>
      </c>
      <c r="G48" s="19">
        <f>I48*1000*0.07*5</f>
        <v>14962500.000000002</v>
      </c>
      <c r="H48" s="19"/>
      <c r="I48" s="19">
        <v>42750</v>
      </c>
      <c r="J48" s="19">
        <v>19665</v>
      </c>
      <c r="K48" s="336"/>
      <c r="L48" s="336"/>
      <c r="M48" s="333"/>
    </row>
    <row r="49" spans="2:13" s="33" customFormat="1" ht="15" hidden="1">
      <c r="B49" s="35" t="str">
        <f>Translation!$A$179</f>
        <v>Solar</v>
      </c>
      <c r="C49" s="227"/>
      <c r="D49" s="16"/>
      <c r="E49" s="17"/>
      <c r="F49" s="18"/>
      <c r="G49" s="19"/>
      <c r="H49" s="19"/>
      <c r="I49" s="19"/>
      <c r="J49" s="19"/>
      <c r="K49" s="336"/>
      <c r="L49" s="336"/>
      <c r="M49" s="333"/>
    </row>
    <row r="50" spans="2:13" s="33" customFormat="1" ht="15" hidden="1">
      <c r="B50" s="35" t="str">
        <f>Translation!$A$180</f>
        <v>Geothermal</v>
      </c>
      <c r="C50" s="16"/>
      <c r="D50" s="16"/>
      <c r="E50" s="17"/>
      <c r="F50" s="18"/>
      <c r="G50" s="19"/>
      <c r="H50" s="19"/>
      <c r="I50" s="19"/>
      <c r="J50" s="19"/>
      <c r="K50" s="336"/>
      <c r="L50" s="336"/>
      <c r="M50" s="333"/>
    </row>
    <row r="51" spans="2:13" s="33" customFormat="1" ht="15" hidden="1">
      <c r="B51" s="35" t="str">
        <f>Translation!$A$181</f>
        <v>Ocean</v>
      </c>
      <c r="C51" s="16"/>
      <c r="D51" s="16"/>
      <c r="E51" s="17"/>
      <c r="F51" s="18"/>
      <c r="G51" s="19"/>
      <c r="H51" s="19"/>
      <c r="I51" s="19"/>
      <c r="J51" s="19"/>
      <c r="K51" s="336"/>
      <c r="L51" s="336"/>
      <c r="M51" s="333"/>
    </row>
    <row r="52" spans="2:13" s="33" customFormat="1" ht="45">
      <c r="B52" s="338" t="str">
        <f>Translation!$A$182</f>
        <v>Biomass</v>
      </c>
      <c r="C52" s="229" t="s">
        <v>561</v>
      </c>
      <c r="D52" s="223" t="s">
        <v>564</v>
      </c>
      <c r="E52" s="17">
        <v>2014</v>
      </c>
      <c r="F52" s="18">
        <v>2020</v>
      </c>
      <c r="G52" s="19">
        <f>I52*1000*0.07*8</f>
        <v>19350240</v>
      </c>
      <c r="H52" s="232"/>
      <c r="I52" s="232">
        <f>15250+19304</f>
        <v>34554</v>
      </c>
      <c r="J52" s="232">
        <v>7015</v>
      </c>
      <c r="K52" s="336"/>
      <c r="L52" s="336"/>
      <c r="M52" s="333"/>
    </row>
    <row r="53" spans="2:13" s="33" customFormat="1" ht="15">
      <c r="B53" s="340"/>
      <c r="C53" s="223" t="s">
        <v>556</v>
      </c>
      <c r="D53" s="223" t="s">
        <v>1072</v>
      </c>
      <c r="E53" s="225">
        <v>2014</v>
      </c>
      <c r="F53" s="226">
        <v>2020</v>
      </c>
      <c r="G53" s="19">
        <v>250000</v>
      </c>
      <c r="H53" s="19"/>
      <c r="I53" s="19"/>
      <c r="J53" s="19"/>
      <c r="K53" s="336"/>
      <c r="L53" s="336"/>
      <c r="M53" s="333"/>
    </row>
    <row r="54" spans="2:13" s="33" customFormat="1" ht="15" hidden="1">
      <c r="B54" s="35" t="str">
        <f>Translation!$A$183</f>
        <v>Urban waste</v>
      </c>
      <c r="C54" s="16"/>
      <c r="D54" s="16"/>
      <c r="E54" s="17"/>
      <c r="F54" s="18"/>
      <c r="G54" s="19"/>
      <c r="H54" s="19"/>
      <c r="I54" s="19"/>
      <c r="J54" s="19"/>
      <c r="K54" s="336"/>
      <c r="L54" s="336"/>
      <c r="M54" s="333"/>
    </row>
    <row r="55" spans="2:13" s="33" customFormat="1" ht="15" hidden="1">
      <c r="B55" s="35" t="str">
        <f>Translation!$A$184</f>
        <v>Storage</v>
      </c>
      <c r="C55" s="16"/>
      <c r="D55" s="16"/>
      <c r="E55" s="17"/>
      <c r="F55" s="18"/>
      <c r="G55" s="19"/>
      <c r="H55" s="19"/>
      <c r="I55" s="19"/>
      <c r="J55" s="19"/>
      <c r="K55" s="336"/>
      <c r="L55" s="336"/>
      <c r="M55" s="333"/>
    </row>
    <row r="56" spans="2:13" s="33" customFormat="1" ht="15" hidden="1">
      <c r="B56" s="35" t="str">
        <f>Translation!$A$185</f>
        <v>External connection</v>
      </c>
      <c r="C56" s="16"/>
      <c r="D56" s="16"/>
      <c r="E56" s="17"/>
      <c r="F56" s="18"/>
      <c r="G56" s="19"/>
      <c r="H56" s="19"/>
      <c r="I56" s="19"/>
      <c r="J56" s="19"/>
      <c r="K56" s="336"/>
      <c r="L56" s="336"/>
      <c r="M56" s="333"/>
    </row>
    <row r="57" spans="2:13" s="33" customFormat="1" ht="30" hidden="1">
      <c r="B57" s="35" t="str">
        <f>Translation!$A$186</f>
        <v>Distribution losses and self-consumption</v>
      </c>
      <c r="C57" s="16"/>
      <c r="D57" s="16"/>
      <c r="E57" s="17"/>
      <c r="F57" s="18"/>
      <c r="G57" s="19"/>
      <c r="H57" s="19"/>
      <c r="I57" s="19"/>
      <c r="J57" s="19"/>
      <c r="K57" s="336"/>
      <c r="L57" s="336"/>
      <c r="M57" s="333"/>
    </row>
    <row r="58" spans="2:13" s="33" customFormat="1" ht="30">
      <c r="B58" s="35" t="s">
        <v>1135</v>
      </c>
      <c r="C58" s="16" t="s">
        <v>692</v>
      </c>
      <c r="D58" s="16" t="s">
        <v>693</v>
      </c>
      <c r="E58" s="17">
        <v>2014</v>
      </c>
      <c r="F58" s="18">
        <v>2020</v>
      </c>
      <c r="G58" s="19"/>
      <c r="H58" s="19"/>
      <c r="I58" s="19"/>
      <c r="J58" s="19"/>
      <c r="K58" s="365"/>
      <c r="L58" s="365"/>
      <c r="M58" s="366"/>
    </row>
    <row r="59" spans="2:13" s="33" customFormat="1" ht="7.5" customHeight="1">
      <c r="B59" s="35"/>
      <c r="C59" s="16"/>
      <c r="D59" s="16"/>
      <c r="E59" s="17"/>
      <c r="F59" s="18"/>
      <c r="G59" s="19"/>
      <c r="H59" s="19"/>
      <c r="I59" s="19"/>
      <c r="J59" s="19"/>
      <c r="K59" s="337"/>
      <c r="L59" s="337"/>
      <c r="M59" s="334"/>
    </row>
    <row r="60" spans="2:13" s="33" customFormat="1" ht="15">
      <c r="B60" s="208" t="str">
        <f>Translation!A187</f>
        <v>LAND USE PLANNING</v>
      </c>
      <c r="C60" s="209"/>
      <c r="D60" s="209"/>
      <c r="E60" s="210"/>
      <c r="F60" s="210"/>
      <c r="G60" s="211"/>
      <c r="H60" s="211"/>
      <c r="I60" s="211"/>
      <c r="J60" s="211"/>
      <c r="K60" s="211"/>
      <c r="L60" s="211"/>
      <c r="M60" s="211"/>
    </row>
    <row r="61" spans="2:13" s="33" customFormat="1" ht="60">
      <c r="B61" s="35" t="str">
        <f>Translation!A188</f>
        <v>Regional and local strategic planning</v>
      </c>
      <c r="C61" s="227" t="s">
        <v>1086</v>
      </c>
      <c r="D61" s="223" t="s">
        <v>562</v>
      </c>
      <c r="E61" s="17">
        <v>2011</v>
      </c>
      <c r="F61" s="18">
        <v>2020</v>
      </c>
      <c r="G61" s="19">
        <v>10000</v>
      </c>
      <c r="H61" s="19"/>
      <c r="I61" s="19"/>
      <c r="J61" s="19"/>
      <c r="K61" s="335">
        <f>SUM(H61:H65)</f>
        <v>0</v>
      </c>
      <c r="L61" s="335">
        <f>SUM(I61:I65)</f>
        <v>0</v>
      </c>
      <c r="M61" s="335">
        <f>SUM(J61:J65)</f>
        <v>0</v>
      </c>
    </row>
    <row r="62" spans="2:13" s="33" customFormat="1" ht="45">
      <c r="B62" s="35" t="str">
        <f>Translation!A189</f>
        <v>Transports and mobility planning</v>
      </c>
      <c r="C62" s="16" t="s">
        <v>1073</v>
      </c>
      <c r="D62" s="223" t="s">
        <v>565</v>
      </c>
      <c r="E62" s="17">
        <v>2012</v>
      </c>
      <c r="F62" s="18">
        <v>2020</v>
      </c>
      <c r="G62" s="19">
        <f>20*2500</f>
        <v>50000</v>
      </c>
      <c r="H62" s="19"/>
      <c r="I62" s="19"/>
      <c r="J62" s="19"/>
      <c r="K62" s="336"/>
      <c r="L62" s="336"/>
      <c r="M62" s="336"/>
    </row>
    <row r="63" spans="2:13" s="33" customFormat="1" ht="45">
      <c r="B63" s="35" t="str">
        <f>Translation!A190</f>
        <v>Energy infrastructures planning</v>
      </c>
      <c r="C63" s="16" t="s">
        <v>1085</v>
      </c>
      <c r="D63" s="223" t="s">
        <v>565</v>
      </c>
      <c r="E63" s="17">
        <v>2012</v>
      </c>
      <c r="F63" s="18">
        <v>2020</v>
      </c>
      <c r="G63" s="19">
        <v>2000000</v>
      </c>
      <c r="H63" s="19"/>
      <c r="I63" s="19"/>
      <c r="J63" s="19"/>
      <c r="K63" s="336"/>
      <c r="L63" s="336"/>
      <c r="M63" s="336"/>
    </row>
    <row r="64" spans="2:13" s="33" customFormat="1" ht="15">
      <c r="B64" s="35" t="str">
        <f>Translation!A191</f>
        <v>Renewable energy land use planning</v>
      </c>
      <c r="C64" s="16" t="s">
        <v>1074</v>
      </c>
      <c r="D64" s="223" t="s">
        <v>562</v>
      </c>
      <c r="E64" s="17">
        <v>2012</v>
      </c>
      <c r="F64" s="18">
        <v>2020</v>
      </c>
      <c r="G64" s="19">
        <v>20000</v>
      </c>
      <c r="H64" s="19"/>
      <c r="I64" s="19"/>
      <c r="J64" s="19"/>
      <c r="K64" s="336"/>
      <c r="L64" s="336"/>
      <c r="M64" s="336"/>
    </row>
    <row r="65" spans="2:13" s="33" customFormat="1" ht="7.5" customHeight="1">
      <c r="B65" s="35"/>
      <c r="C65" s="16"/>
      <c r="D65" s="16"/>
      <c r="E65" s="17"/>
      <c r="F65" s="18"/>
      <c r="G65" s="19"/>
      <c r="H65" s="19"/>
      <c r="I65" s="19"/>
      <c r="J65" s="19"/>
      <c r="K65" s="337"/>
      <c r="L65" s="337"/>
      <c r="M65" s="337"/>
    </row>
    <row r="66" spans="2:13" s="33" customFormat="1" ht="15">
      <c r="B66" s="208" t="str">
        <f>Translation!A192</f>
        <v>PUBLIC PROCUREMENT OF PRODUCTS AND SERVICES</v>
      </c>
      <c r="C66" s="209"/>
      <c r="D66" s="209"/>
      <c r="E66" s="210"/>
      <c r="F66" s="210"/>
      <c r="G66" s="211"/>
      <c r="H66" s="211"/>
      <c r="I66" s="211"/>
      <c r="J66" s="211"/>
      <c r="K66" s="211"/>
      <c r="L66" s="211"/>
      <c r="M66" s="211"/>
    </row>
    <row r="67" spans="2:13" s="33" customFormat="1" ht="45">
      <c r="B67" s="35" t="str">
        <f>Translation!A193</f>
        <v>Energy efficiency requirements/standards</v>
      </c>
      <c r="C67" s="16" t="s">
        <v>1075</v>
      </c>
      <c r="D67" s="223" t="s">
        <v>564</v>
      </c>
      <c r="E67" s="17">
        <v>2012</v>
      </c>
      <c r="F67" s="18">
        <v>2020</v>
      </c>
      <c r="G67" s="19"/>
      <c r="H67" s="19"/>
      <c r="I67" s="19"/>
      <c r="J67" s="19"/>
      <c r="K67" s="335">
        <f>SUM(H67:H69)</f>
        <v>0</v>
      </c>
      <c r="L67" s="335">
        <f>SUM(I67:I69)</f>
        <v>0</v>
      </c>
      <c r="M67" s="335">
        <f>SUM(J67:J69)</f>
        <v>0</v>
      </c>
    </row>
    <row r="68" spans="2:13" s="33" customFormat="1" ht="45">
      <c r="B68" s="35" t="str">
        <f>Translation!A194</f>
        <v>Renewable energy requirements/standards</v>
      </c>
      <c r="C68" s="16" t="s">
        <v>1076</v>
      </c>
      <c r="D68" s="223" t="s">
        <v>564</v>
      </c>
      <c r="E68" s="17">
        <v>2012</v>
      </c>
      <c r="F68" s="18">
        <v>2020</v>
      </c>
      <c r="G68" s="19"/>
      <c r="H68" s="19"/>
      <c r="I68" s="19"/>
      <c r="J68" s="19"/>
      <c r="K68" s="336"/>
      <c r="L68" s="336"/>
      <c r="M68" s="336"/>
    </row>
    <row r="69" spans="2:13" s="33" customFormat="1" ht="7.5" customHeight="1">
      <c r="B69" s="35"/>
      <c r="C69" s="16"/>
      <c r="D69" s="16"/>
      <c r="E69" s="17"/>
      <c r="F69" s="18"/>
      <c r="G69" s="19"/>
      <c r="H69" s="19"/>
      <c r="I69" s="19"/>
      <c r="J69" s="19"/>
      <c r="K69" s="337"/>
      <c r="L69" s="337"/>
      <c r="M69" s="337"/>
    </row>
    <row r="70" spans="2:13" s="33" customFormat="1" ht="15">
      <c r="B70" s="208" t="str">
        <f>Translation!A195</f>
        <v>CITIZENS AND STAKEHOLDERS</v>
      </c>
      <c r="C70" s="209"/>
      <c r="D70" s="209"/>
      <c r="E70" s="210"/>
      <c r="F70" s="210"/>
      <c r="G70" s="211"/>
      <c r="H70" s="211"/>
      <c r="I70" s="211"/>
      <c r="J70" s="211"/>
      <c r="K70" s="211"/>
      <c r="L70" s="211"/>
      <c r="M70" s="211"/>
    </row>
    <row r="71" spans="2:13" s="33" customFormat="1" ht="30">
      <c r="B71" s="35" t="str">
        <f>Translation!A196</f>
        <v>Advisory services</v>
      </c>
      <c r="C71" s="227" t="s">
        <v>1077</v>
      </c>
      <c r="D71" s="16" t="s">
        <v>1088</v>
      </c>
      <c r="E71" s="17">
        <v>2012</v>
      </c>
      <c r="F71" s="18">
        <v>2020</v>
      </c>
      <c r="G71" s="19">
        <f>(3000*14*8+30000)*10%</f>
        <v>36600</v>
      </c>
      <c r="H71" s="19"/>
      <c r="I71" s="19"/>
      <c r="J71" s="19"/>
      <c r="K71" s="335">
        <f>SUM(H71:H82)</f>
        <v>0</v>
      </c>
      <c r="L71" s="335">
        <f>SUM(I71:I82)</f>
        <v>0</v>
      </c>
      <c r="M71" s="335">
        <f>SUM(J71:J82)</f>
        <v>0</v>
      </c>
    </row>
    <row r="72" spans="2:13" s="33" customFormat="1" ht="45">
      <c r="B72" s="338" t="str">
        <f>Translation!A197</f>
        <v>Financial support and grants</v>
      </c>
      <c r="C72" s="227" t="s">
        <v>694</v>
      </c>
      <c r="D72" s="223" t="s">
        <v>566</v>
      </c>
      <c r="E72" s="17">
        <v>2012</v>
      </c>
      <c r="F72" s="18">
        <v>2020</v>
      </c>
      <c r="G72" s="19"/>
      <c r="H72" s="19"/>
      <c r="I72" s="19"/>
      <c r="J72" s="19"/>
      <c r="K72" s="336"/>
      <c r="L72" s="336"/>
      <c r="M72" s="336"/>
    </row>
    <row r="73" spans="2:13" s="33" customFormat="1" ht="45">
      <c r="B73" s="339"/>
      <c r="C73" s="227" t="s">
        <v>1083</v>
      </c>
      <c r="D73" s="223" t="s">
        <v>567</v>
      </c>
      <c r="E73" s="17">
        <v>2011</v>
      </c>
      <c r="F73" s="18">
        <v>2020</v>
      </c>
      <c r="G73" s="19"/>
      <c r="H73" s="19"/>
      <c r="I73" s="19"/>
      <c r="J73" s="19"/>
      <c r="K73" s="336"/>
      <c r="L73" s="336"/>
      <c r="M73" s="336"/>
    </row>
    <row r="74" spans="2:13" s="33" customFormat="1" ht="45">
      <c r="B74" s="340"/>
      <c r="C74" s="229" t="s">
        <v>572</v>
      </c>
      <c r="D74" s="223" t="s">
        <v>568</v>
      </c>
      <c r="E74" s="17">
        <v>2012</v>
      </c>
      <c r="F74" s="18">
        <v>2020</v>
      </c>
      <c r="G74" s="19"/>
      <c r="H74" s="19"/>
      <c r="I74" s="19"/>
      <c r="J74" s="19"/>
      <c r="K74" s="336"/>
      <c r="L74" s="336"/>
      <c r="M74" s="336"/>
    </row>
    <row r="75" spans="2:13" s="33" customFormat="1" ht="30">
      <c r="B75" s="338" t="str">
        <f>Translation!A198</f>
        <v>Awareness raising and networking</v>
      </c>
      <c r="C75" s="227" t="s">
        <v>1082</v>
      </c>
      <c r="D75" s="16" t="s">
        <v>1088</v>
      </c>
      <c r="E75" s="17">
        <v>2012</v>
      </c>
      <c r="F75" s="18">
        <v>2020</v>
      </c>
      <c r="G75" s="19">
        <v>20000</v>
      </c>
      <c r="H75" s="19"/>
      <c r="I75" s="19"/>
      <c r="J75" s="19"/>
      <c r="K75" s="336"/>
      <c r="L75" s="336"/>
      <c r="M75" s="336"/>
    </row>
    <row r="76" spans="2:13" s="33" customFormat="1" ht="30">
      <c r="B76" s="339"/>
      <c r="C76" s="227" t="s">
        <v>1081</v>
      </c>
      <c r="D76" s="223" t="s">
        <v>569</v>
      </c>
      <c r="E76" s="17">
        <v>2012</v>
      </c>
      <c r="F76" s="18">
        <v>2020</v>
      </c>
      <c r="G76" s="19">
        <v>200000</v>
      </c>
      <c r="H76" s="19"/>
      <c r="I76" s="19"/>
      <c r="J76" s="19"/>
      <c r="K76" s="336"/>
      <c r="L76" s="336"/>
      <c r="M76" s="336"/>
    </row>
    <row r="77" spans="2:13" s="33" customFormat="1" ht="30">
      <c r="B77" s="339"/>
      <c r="C77" s="227" t="s">
        <v>1080</v>
      </c>
      <c r="D77" s="223" t="s">
        <v>570</v>
      </c>
      <c r="E77" s="17">
        <v>2012</v>
      </c>
      <c r="F77" s="18">
        <v>2020</v>
      </c>
      <c r="G77" s="19">
        <v>100000</v>
      </c>
      <c r="H77" s="19"/>
      <c r="I77" s="19"/>
      <c r="J77" s="19"/>
      <c r="K77" s="336"/>
      <c r="L77" s="336"/>
      <c r="M77" s="336"/>
    </row>
    <row r="78" spans="2:13" s="33" customFormat="1" ht="30">
      <c r="B78" s="340"/>
      <c r="C78" s="227" t="s">
        <v>1079</v>
      </c>
      <c r="D78" s="223" t="s">
        <v>570</v>
      </c>
      <c r="E78" s="17">
        <v>2011</v>
      </c>
      <c r="F78" s="18">
        <v>2020</v>
      </c>
      <c r="G78" s="19">
        <v>10000</v>
      </c>
      <c r="H78" s="19"/>
      <c r="I78" s="19"/>
      <c r="J78" s="19"/>
      <c r="K78" s="336"/>
      <c r="L78" s="336"/>
      <c r="M78" s="336"/>
    </row>
    <row r="79" spans="2:13" s="33" customFormat="1" ht="30">
      <c r="B79" s="35" t="str">
        <f>Translation!A199</f>
        <v>Training and education</v>
      </c>
      <c r="C79" s="227" t="s">
        <v>1078</v>
      </c>
      <c r="D79" s="223" t="s">
        <v>571</v>
      </c>
      <c r="E79" s="17">
        <v>2012</v>
      </c>
      <c r="F79" s="18">
        <v>2020</v>
      </c>
      <c r="G79" s="19">
        <v>10000</v>
      </c>
      <c r="H79" s="19"/>
      <c r="I79" s="19"/>
      <c r="J79" s="19"/>
      <c r="K79" s="336"/>
      <c r="L79" s="336"/>
      <c r="M79" s="336"/>
    </row>
    <row r="80" spans="2:13" s="33" customFormat="1" ht="15">
      <c r="B80" s="35" t="str">
        <f>Translation!A200</f>
        <v>Monitoring</v>
      </c>
      <c r="C80" s="16"/>
      <c r="D80" s="16"/>
      <c r="E80" s="17"/>
      <c r="F80" s="18"/>
      <c r="G80" s="19"/>
      <c r="H80" s="19"/>
      <c r="I80" s="19"/>
      <c r="J80" s="19"/>
      <c r="K80" s="336"/>
      <c r="L80" s="336"/>
      <c r="M80" s="336"/>
    </row>
    <row r="81" spans="2:13" s="33" customFormat="1" ht="15">
      <c r="B81" s="35" t="str">
        <f>Translation!A201</f>
        <v>Regulamentation</v>
      </c>
      <c r="C81" s="16"/>
      <c r="D81" s="16"/>
      <c r="E81" s="17"/>
      <c r="F81" s="18"/>
      <c r="G81" s="19"/>
      <c r="H81" s="19"/>
      <c r="I81" s="19"/>
      <c r="J81" s="19"/>
      <c r="K81" s="336"/>
      <c r="L81" s="336"/>
      <c r="M81" s="336"/>
    </row>
    <row r="82" spans="2:13" s="33" customFormat="1" ht="7.5" customHeight="1">
      <c r="B82" s="35"/>
      <c r="C82" s="16"/>
      <c r="D82" s="16"/>
      <c r="E82" s="17"/>
      <c r="F82" s="18"/>
      <c r="G82" s="19"/>
      <c r="H82" s="19"/>
      <c r="I82" s="19"/>
      <c r="J82" s="19"/>
      <c r="K82" s="337"/>
      <c r="L82" s="337"/>
      <c r="M82" s="337"/>
    </row>
    <row r="83" spans="2:13" s="33" customFormat="1" ht="15">
      <c r="B83" s="208" t="str">
        <f>Translation!A202</f>
        <v>OTHER SECTORS (please specify)</v>
      </c>
      <c r="C83" s="209"/>
      <c r="D83" s="209"/>
      <c r="E83" s="210"/>
      <c r="F83" s="210"/>
      <c r="G83" s="211"/>
      <c r="H83" s="211"/>
      <c r="I83" s="211"/>
      <c r="J83" s="211"/>
      <c r="K83" s="211"/>
      <c r="L83" s="211"/>
      <c r="M83" s="211"/>
    </row>
    <row r="84" spans="2:13" s="33" customFormat="1" ht="15">
      <c r="B84" s="164" t="str">
        <f>Translation!A203</f>
        <v>…</v>
      </c>
      <c r="C84" s="16"/>
      <c r="D84" s="16"/>
      <c r="E84" s="17"/>
      <c r="F84" s="18"/>
      <c r="G84" s="19"/>
      <c r="H84" s="19"/>
      <c r="I84" s="19"/>
      <c r="J84" s="19"/>
      <c r="K84" s="348">
        <f>SUM(H84:H88)</f>
        <v>0</v>
      </c>
      <c r="L84" s="348">
        <f>SUM(I84:I88)</f>
        <v>0</v>
      </c>
      <c r="M84" s="348">
        <f>SUM(J84:J88)</f>
        <v>0</v>
      </c>
    </row>
    <row r="85" spans="2:13" s="33" customFormat="1" ht="15">
      <c r="B85" s="164" t="str">
        <f>Translation!A204</f>
        <v>…</v>
      </c>
      <c r="C85" s="16"/>
      <c r="D85" s="16"/>
      <c r="E85" s="17"/>
      <c r="F85" s="18"/>
      <c r="G85" s="19"/>
      <c r="H85" s="19"/>
      <c r="I85" s="19"/>
      <c r="J85" s="19"/>
      <c r="K85" s="348"/>
      <c r="L85" s="348"/>
      <c r="M85" s="348"/>
    </row>
    <row r="86" spans="2:13" s="33" customFormat="1" ht="15">
      <c r="B86" s="164" t="str">
        <f>Translation!A205</f>
        <v>…</v>
      </c>
      <c r="C86" s="16"/>
      <c r="D86" s="16"/>
      <c r="E86" s="17"/>
      <c r="F86" s="18"/>
      <c r="G86" s="19"/>
      <c r="H86" s="19"/>
      <c r="I86" s="19"/>
      <c r="J86" s="19"/>
      <c r="K86" s="348"/>
      <c r="L86" s="348"/>
      <c r="M86" s="348"/>
    </row>
    <row r="87" spans="2:13" s="33" customFormat="1" ht="15">
      <c r="B87" s="164" t="str">
        <f>Translation!A206</f>
        <v>…</v>
      </c>
      <c r="C87" s="16"/>
      <c r="D87" s="16"/>
      <c r="E87" s="17"/>
      <c r="F87" s="18"/>
      <c r="G87" s="19"/>
      <c r="H87" s="19"/>
      <c r="I87" s="19"/>
      <c r="J87" s="19"/>
      <c r="K87" s="348"/>
      <c r="L87" s="348"/>
      <c r="M87" s="348"/>
    </row>
    <row r="88" spans="2:13" s="33" customFormat="1" ht="15">
      <c r="B88" s="164" t="str">
        <f>Translation!A207</f>
        <v>…</v>
      </c>
      <c r="C88" s="16"/>
      <c r="D88" s="16"/>
      <c r="E88" s="17"/>
      <c r="F88" s="18"/>
      <c r="G88" s="19"/>
      <c r="H88" s="19"/>
      <c r="I88" s="19"/>
      <c r="J88" s="19"/>
      <c r="K88" s="348"/>
      <c r="L88" s="348"/>
      <c r="M88" s="348"/>
    </row>
    <row r="89" spans="2:13" s="33" customFormat="1" ht="15">
      <c r="B89" s="345" t="str">
        <f>Translation!A208</f>
        <v>TOTAL</v>
      </c>
      <c r="C89" s="346"/>
      <c r="D89" s="346"/>
      <c r="E89" s="346"/>
      <c r="F89" s="347"/>
      <c r="G89" s="213">
        <f>SUM(G14:G88)</f>
        <v>79474540</v>
      </c>
      <c r="H89" s="213">
        <f>SUM(H14:H88)</f>
        <v>6980</v>
      </c>
      <c r="I89" s="213">
        <f>SUM(I14:I88)</f>
        <v>93725</v>
      </c>
      <c r="J89" s="213">
        <f>SUM(J14:J88)</f>
        <v>40545</v>
      </c>
      <c r="K89" s="36">
        <f>K14+K20+K24+K30+K39+K44+K61+K67+K71+K84</f>
        <v>6980</v>
      </c>
      <c r="L89" s="36">
        <f>L14+L20+L24+L30+L39+L44+L61+L67+L71+L84</f>
        <v>93725</v>
      </c>
      <c r="M89" s="36">
        <f>M14+M20+M24+M30+M39+M44+M61+M67+M71+M84</f>
        <v>40545</v>
      </c>
    </row>
    <row r="90" spans="2:10" ht="17.25" customHeight="1">
      <c r="B90" s="37"/>
      <c r="C90" s="38"/>
      <c r="D90" s="39"/>
      <c r="E90" s="40"/>
      <c r="F90" s="41"/>
      <c r="J90" s="42"/>
    </row>
    <row r="91" spans="1:13" s="106" customFormat="1" ht="36">
      <c r="A91" s="105" t="s">
        <v>1099</v>
      </c>
      <c r="B91" s="344" t="str">
        <f>Translation!A209</f>
        <v>WEBSITE</v>
      </c>
      <c r="C91" s="344"/>
      <c r="D91" s="344"/>
      <c r="E91" s="344"/>
      <c r="F91" s="344"/>
      <c r="G91" s="344"/>
      <c r="H91" s="344"/>
      <c r="I91" s="344"/>
      <c r="J91" s="344"/>
      <c r="K91" s="344"/>
      <c r="L91" s="344"/>
      <c r="M91" s="344"/>
    </row>
    <row r="92" spans="1:9" ht="15.75" customHeight="1">
      <c r="A92" s="43"/>
      <c r="C92" s="44" t="str">
        <f>Translation!A210</f>
        <v>Direct link to the webpage dedicated to ISEAP (if any)</v>
      </c>
      <c r="D92" s="341"/>
      <c r="E92" s="342"/>
      <c r="F92" s="342"/>
      <c r="G92" s="342"/>
      <c r="H92" s="343"/>
      <c r="I92" s="26"/>
    </row>
    <row r="93" spans="2:10" ht="17.25" customHeight="1">
      <c r="B93" s="37"/>
      <c r="J93" s="42"/>
    </row>
    <row r="94" spans="2:13" ht="12.75" customHeight="1">
      <c r="B94" s="281" t="str">
        <f>Translation!$A$211</f>
        <v>DISCLAIMER: The sole responsibility for the content of this document lies with the authors. It does not necessarily reflect the opinion of the European Communities. The European Commission is not responsible for any use that may be made of the information contained therein.</v>
      </c>
      <c r="C94" s="281"/>
      <c r="D94" s="281"/>
      <c r="E94" s="281"/>
      <c r="F94" s="281"/>
      <c r="G94" s="281"/>
      <c r="H94" s="281"/>
      <c r="I94" s="281"/>
      <c r="J94" s="281"/>
      <c r="K94" s="281"/>
      <c r="L94" s="281"/>
      <c r="M94" s="281"/>
    </row>
    <row r="95" spans="2:13" ht="12.75">
      <c r="B95" s="281"/>
      <c r="C95" s="281"/>
      <c r="D95" s="281"/>
      <c r="E95" s="281"/>
      <c r="F95" s="281"/>
      <c r="G95" s="281"/>
      <c r="H95" s="281"/>
      <c r="I95" s="281"/>
      <c r="J95" s="281"/>
      <c r="K95" s="281"/>
      <c r="L95" s="281"/>
      <c r="M95" s="281"/>
    </row>
    <row r="96" spans="2:13" ht="12.75">
      <c r="B96" s="281"/>
      <c r="C96" s="281"/>
      <c r="D96" s="281"/>
      <c r="E96" s="281"/>
      <c r="F96" s="281"/>
      <c r="G96" s="281"/>
      <c r="H96" s="281"/>
      <c r="I96" s="281"/>
      <c r="J96" s="281"/>
      <c r="K96" s="281"/>
      <c r="L96" s="281"/>
      <c r="M96" s="281"/>
    </row>
  </sheetData>
  <sheetProtection/>
  <mergeCells count="59">
    <mergeCell ref="H11:H12"/>
    <mergeCell ref="L61:L65"/>
    <mergeCell ref="L14:L18"/>
    <mergeCell ref="B2:C2"/>
    <mergeCell ref="L4:M4"/>
    <mergeCell ref="B24:B25"/>
    <mergeCell ref="B30:B32"/>
    <mergeCell ref="L11:L12"/>
    <mergeCell ref="E11:F11"/>
    <mergeCell ref="K20:K22"/>
    <mergeCell ref="L20:L22"/>
    <mergeCell ref="B14:B17"/>
    <mergeCell ref="K14:K18"/>
    <mergeCell ref="I11:I12"/>
    <mergeCell ref="B10:M10"/>
    <mergeCell ref="L44:L59"/>
    <mergeCell ref="M44:M59"/>
    <mergeCell ref="M39:M42"/>
    <mergeCell ref="K30:K37"/>
    <mergeCell ref="L30:L37"/>
    <mergeCell ref="M30:M37"/>
    <mergeCell ref="D11:D12"/>
    <mergeCell ref="K39:K42"/>
    <mergeCell ref="A1:M1"/>
    <mergeCell ref="B6:M6"/>
    <mergeCell ref="B11:B12"/>
    <mergeCell ref="M11:M12"/>
    <mergeCell ref="J11:J12"/>
    <mergeCell ref="K11:K12"/>
    <mergeCell ref="B5:M5"/>
    <mergeCell ref="G8:J8"/>
    <mergeCell ref="C11:C12"/>
    <mergeCell ref="G11:G12"/>
    <mergeCell ref="L84:L88"/>
    <mergeCell ref="K24:K28"/>
    <mergeCell ref="L24:L28"/>
    <mergeCell ref="K67:K69"/>
    <mergeCell ref="K84:K88"/>
    <mergeCell ref="K61:K65"/>
    <mergeCell ref="L39:L42"/>
    <mergeCell ref="B75:B78"/>
    <mergeCell ref="B72:B74"/>
    <mergeCell ref="B94:M96"/>
    <mergeCell ref="D92:H92"/>
    <mergeCell ref="B91:M91"/>
    <mergeCell ref="B89:F89"/>
    <mergeCell ref="K71:K82"/>
    <mergeCell ref="L71:L82"/>
    <mergeCell ref="M84:M88"/>
    <mergeCell ref="M71:M82"/>
    <mergeCell ref="M14:M18"/>
    <mergeCell ref="M67:M69"/>
    <mergeCell ref="B33:B35"/>
    <mergeCell ref="B52:B53"/>
    <mergeCell ref="M24:M28"/>
    <mergeCell ref="K44:K59"/>
    <mergeCell ref="M20:M22"/>
    <mergeCell ref="L67:L69"/>
    <mergeCell ref="M61:M65"/>
  </mergeCells>
  <printOptions horizontalCentered="1"/>
  <pageMargins left="0.7086614173228347" right="0.7086614173228347" top="0.7480314960629921" bottom="0.7480314960629921" header="0.31496062992125984" footer="0.31496062992125984"/>
  <pageSetup fitToHeight="0" fitToWidth="1" horizontalDpi="300" verticalDpi="300" orientation="landscape" paperSize="8" scale="64" r:id="rId4"/>
  <drawing r:id="rId3"/>
  <legacyDrawing r:id="rId2"/>
</worksheet>
</file>

<file path=xl/worksheets/sheet8.xml><?xml version="1.0" encoding="utf-8"?>
<worksheet xmlns="http://schemas.openxmlformats.org/spreadsheetml/2006/main" xmlns:r="http://schemas.openxmlformats.org/officeDocument/2006/relationships">
  <dimension ref="B1:L89"/>
  <sheetViews>
    <sheetView showGridLines="0" showZeros="0" zoomScale="60" zoomScaleNormal="60" zoomScalePageLayoutView="0" workbookViewId="0" topLeftCell="A66">
      <selection activeCell="I4" sqref="I4"/>
    </sheetView>
  </sheetViews>
  <sheetFormatPr defaultColWidth="11.57421875" defaultRowHeight="15"/>
  <cols>
    <col min="1" max="1" width="6.7109375" style="21" customWidth="1"/>
    <col min="2" max="2" width="35.57421875" style="21" customWidth="1"/>
    <col min="3" max="3" width="30.8515625" style="21" customWidth="1"/>
    <col min="4" max="4" width="26.28125" style="21" customWidth="1"/>
    <col min="5" max="5" width="18.57421875" style="21" customWidth="1"/>
    <col min="6" max="6" width="18.8515625" style="21" customWidth="1"/>
    <col min="7" max="11" width="19.28125" style="21" customWidth="1"/>
    <col min="12" max="12" width="15.28125" style="248" customWidth="1"/>
    <col min="13" max="243" width="11.421875" style="21" customWidth="1"/>
    <col min="244" max="244" width="3.28125" style="21" customWidth="1"/>
    <col min="245" max="245" width="56.140625" style="21" customWidth="1"/>
    <col min="246" max="246" width="13.00390625" style="21" customWidth="1"/>
    <col min="247" max="247" width="12.7109375" style="21" customWidth="1"/>
    <col min="248" max="16384" width="11.57421875" style="21" customWidth="1"/>
  </cols>
  <sheetData>
    <row r="1" spans="2:12" s="33" customFormat="1" ht="68.25" customHeight="1">
      <c r="B1" s="352" t="str">
        <f>Translation!A160</f>
        <v>SECTORS AND FIELDS OF ACTION</v>
      </c>
      <c r="C1" s="352" t="str">
        <f>Translation!A161</f>
        <v>ACTIONS
(one line per action - insert lines if necessary; exclude ETS actions)</v>
      </c>
      <c r="D1" s="352" t="str">
        <f>Translation!A162</f>
        <v>RESPONSIBLE FOR IMPLEMENTATION</v>
      </c>
      <c r="E1" s="352" t="str">
        <f>Translation!A166</f>
        <v>ESTIMATED INVESTMENT COSTS [euro]</v>
      </c>
      <c r="G1" s="363" t="str">
        <f>D4</f>
        <v>Citizen</v>
      </c>
      <c r="H1" s="363" t="str">
        <f>D14</f>
        <v>Operators</v>
      </c>
      <c r="I1" s="363" t="str">
        <f>D26</f>
        <v>Local government</v>
      </c>
      <c r="J1" s="363" t="s">
        <v>1369</v>
      </c>
      <c r="K1" s="363" t="s">
        <v>689</v>
      </c>
      <c r="L1" s="246"/>
    </row>
    <row r="2" spans="2:12" s="33" customFormat="1" ht="31.5" customHeight="1">
      <c r="B2" s="353"/>
      <c r="C2" s="353"/>
      <c r="D2" s="353"/>
      <c r="E2" s="353"/>
      <c r="G2" s="363"/>
      <c r="H2" s="363"/>
      <c r="I2" s="363"/>
      <c r="J2" s="363"/>
      <c r="K2" s="363"/>
      <c r="L2" s="246"/>
    </row>
    <row r="3" spans="2:12" s="33" customFormat="1" ht="15">
      <c r="B3" s="208" t="str">
        <f>Translation!A59</f>
        <v>RESIDENTIAL</v>
      </c>
      <c r="C3" s="209"/>
      <c r="D3" s="209"/>
      <c r="E3" s="211"/>
      <c r="G3" s="363"/>
      <c r="H3" s="363"/>
      <c r="I3" s="363"/>
      <c r="J3" s="363"/>
      <c r="K3" s="363"/>
      <c r="L3" s="246"/>
    </row>
    <row r="4" spans="2:12" s="33" customFormat="1" ht="75">
      <c r="B4" s="360" t="str">
        <f>Translation!A60</f>
        <v>Domestic uses</v>
      </c>
      <c r="C4" s="223" t="str">
        <f>ISEAP!C14</f>
        <v>Increase the use of district heating, biomass (firewood, pellets and wood bricks) and geothermal heatpumps for heating and hot water.</v>
      </c>
      <c r="D4" s="16" t="s">
        <v>1066</v>
      </c>
      <c r="E4" s="19">
        <f>ISEAP!G14</f>
        <v>2000000</v>
      </c>
      <c r="G4" s="249">
        <f>E4</f>
        <v>2000000</v>
      </c>
      <c r="H4" s="245"/>
      <c r="I4" s="245"/>
      <c r="J4" s="245"/>
      <c r="K4" s="245">
        <f>SUM(G4:J4)</f>
        <v>2000000</v>
      </c>
      <c r="L4" s="247">
        <f>K4-E4</f>
        <v>0</v>
      </c>
    </row>
    <row r="5" spans="2:12" s="33" customFormat="1" ht="30">
      <c r="B5" s="361"/>
      <c r="C5" s="223" t="str">
        <f>ISEAP!C15</f>
        <v>Increase of thermal insulation of new and existing buildings.</v>
      </c>
      <c r="D5" s="16" t="s">
        <v>1066</v>
      </c>
      <c r="E5" s="19">
        <f>ISEAP!G15</f>
        <v>25000000</v>
      </c>
      <c r="G5" s="249">
        <f>E5</f>
        <v>25000000</v>
      </c>
      <c r="H5" s="245"/>
      <c r="I5" s="245"/>
      <c r="J5" s="245"/>
      <c r="K5" s="245">
        <f>SUM(G5:J5)</f>
        <v>25000000</v>
      </c>
      <c r="L5" s="247">
        <f>K5-E5</f>
        <v>0</v>
      </c>
    </row>
    <row r="6" spans="2:12" s="33" customFormat="1" ht="105">
      <c r="B6" s="361"/>
      <c r="C6" s="223" t="str">
        <f>ISEAP!C16</f>
        <v>Installation of high efficiency lamps, light control sensors and temperature regulators; acquisition of energy efficient appliances; and raise awareness about efficient use of electricity, heat and hot water.</v>
      </c>
      <c r="D6" s="16" t="s">
        <v>1066</v>
      </c>
      <c r="E6" s="19">
        <f>ISEAP!G16</f>
        <v>788800</v>
      </c>
      <c r="G6" s="249">
        <f>E6</f>
        <v>788800</v>
      </c>
      <c r="H6" s="245"/>
      <c r="I6" s="245"/>
      <c r="J6" s="245"/>
      <c r="K6" s="245">
        <f>SUM(G6:J6)</f>
        <v>788800</v>
      </c>
      <c r="L6" s="247">
        <f>K6-E6</f>
        <v>0</v>
      </c>
    </row>
    <row r="7" spans="2:12" s="33" customFormat="1" ht="45">
      <c r="B7" s="362"/>
      <c r="C7" s="223" t="str">
        <f>ISEAP!C17</f>
        <v>Installation of wind micro-turbines, solar panels and collectors for domestic energy production in remote houses.</v>
      </c>
      <c r="D7" s="16" t="s">
        <v>1066</v>
      </c>
      <c r="E7" s="19">
        <f>ISEAP!G17</f>
        <v>200000</v>
      </c>
      <c r="G7" s="249">
        <f>E7</f>
        <v>200000</v>
      </c>
      <c r="H7" s="245"/>
      <c r="I7" s="245"/>
      <c r="J7" s="245"/>
      <c r="K7" s="245">
        <f>SUM(G7:J7)</f>
        <v>200000</v>
      </c>
      <c r="L7" s="247">
        <f>K7-E7</f>
        <v>0</v>
      </c>
    </row>
    <row r="8" spans="2:12" s="33" customFormat="1" ht="7.5" customHeight="1">
      <c r="B8" s="35"/>
      <c r="C8" s="16"/>
      <c r="D8" s="16"/>
      <c r="E8" s="19"/>
      <c r="L8" s="246"/>
    </row>
    <row r="9" spans="2:12" s="33" customFormat="1" ht="15">
      <c r="B9" s="208" t="str">
        <f>Translation!A69</f>
        <v>PRIMARY SECTOR</v>
      </c>
      <c r="C9" s="209"/>
      <c r="D9" s="209"/>
      <c r="E9" s="211"/>
      <c r="L9" s="246"/>
    </row>
    <row r="10" spans="2:12" s="33" customFormat="1" ht="15">
      <c r="B10" s="35" t="str">
        <f>Translation!A70</f>
        <v>Agriculture, forestry and fishing</v>
      </c>
      <c r="C10" s="223"/>
      <c r="D10" s="224"/>
      <c r="E10" s="19"/>
      <c r="G10" s="249"/>
      <c r="H10" s="245"/>
      <c r="I10" s="245"/>
      <c r="J10" s="245"/>
      <c r="K10" s="245">
        <f>SUM(G10:J10)</f>
        <v>0</v>
      </c>
      <c r="L10" s="247">
        <f>K10-E10</f>
        <v>0</v>
      </c>
    </row>
    <row r="11" spans="2:12" s="33" customFormat="1" ht="15" customHeight="1" hidden="1">
      <c r="B11" s="35" t="str">
        <f>Translation!A71</f>
        <v>Mining and quarrying</v>
      </c>
      <c r="C11" s="16"/>
      <c r="D11" s="16"/>
      <c r="E11" s="19"/>
      <c r="L11" s="246"/>
    </row>
    <row r="12" spans="2:12" s="33" customFormat="1" ht="7.5" customHeight="1">
      <c r="B12" s="35"/>
      <c r="C12" s="16"/>
      <c r="D12" s="16"/>
      <c r="E12" s="19"/>
      <c r="L12" s="246"/>
    </row>
    <row r="13" spans="2:12" s="33" customFormat="1" ht="15">
      <c r="B13" s="208" t="str">
        <f>Translation!A72</f>
        <v>SECONDARY SECTOR</v>
      </c>
      <c r="C13" s="209"/>
      <c r="D13" s="209"/>
      <c r="E13" s="211"/>
      <c r="L13" s="246"/>
    </row>
    <row r="14" spans="2:12" s="33" customFormat="1" ht="60">
      <c r="B14" s="338" t="str">
        <f>Translation!A73</f>
        <v>Manufacturing</v>
      </c>
      <c r="C14" s="223" t="str">
        <f>ISEAP!C24</f>
        <v>Increase the use of district heating, biomass and geothermal heatpumps for heating and hot water.</v>
      </c>
      <c r="D14" s="223" t="s">
        <v>1072</v>
      </c>
      <c r="E14" s="19">
        <f>ISEAP!G24</f>
        <v>425000</v>
      </c>
      <c r="G14" s="249"/>
      <c r="H14" s="249">
        <f>E14</f>
        <v>425000</v>
      </c>
      <c r="I14" s="245"/>
      <c r="J14" s="245"/>
      <c r="K14" s="245">
        <f>SUM(G14:J14)</f>
        <v>425000</v>
      </c>
      <c r="L14" s="247">
        <f>K14-E14</f>
        <v>0</v>
      </c>
    </row>
    <row r="15" spans="2:12" s="33" customFormat="1" ht="105">
      <c r="B15" s="340"/>
      <c r="C15" s="223" t="str">
        <f>ISEAP!C25</f>
        <v>Installation of high efficiency lamps, light control sensors and temperature regulators; acquisition of energy efficient appliances; and raise awareness about efficient use of electricity, heat and hot water.</v>
      </c>
      <c r="D15" s="223" t="s">
        <v>1072</v>
      </c>
      <c r="E15" s="19">
        <f>ISEAP!G25</f>
        <v>546000</v>
      </c>
      <c r="G15" s="249"/>
      <c r="H15" s="249">
        <f>E15</f>
        <v>546000</v>
      </c>
      <c r="I15" s="245"/>
      <c r="J15" s="245"/>
      <c r="K15" s="245">
        <f>SUM(G15:J15)</f>
        <v>546000</v>
      </c>
      <c r="L15" s="247">
        <f>K15-E15</f>
        <v>0</v>
      </c>
    </row>
    <row r="16" spans="2:12" s="33" customFormat="1" ht="45">
      <c r="B16" s="35" t="str">
        <f>Translation!A74</f>
        <v>Water supply, sewerage, waste management and remediation activities</v>
      </c>
      <c r="C16" s="16"/>
      <c r="D16" s="16"/>
      <c r="E16" s="19">
        <f>ISEAP!G26</f>
        <v>0</v>
      </c>
      <c r="L16" s="246"/>
    </row>
    <row r="17" spans="2:12" s="33" customFormat="1" ht="43.5" customHeight="1">
      <c r="B17" s="35" t="str">
        <f>Translation!A75</f>
        <v>Construction</v>
      </c>
      <c r="C17" s="16"/>
      <c r="D17" s="16"/>
      <c r="E17" s="19">
        <f>ISEAP!G27</f>
        <v>0</v>
      </c>
      <c r="L17" s="246"/>
    </row>
    <row r="18" spans="2:12" s="33" customFormat="1" ht="7.5" customHeight="1">
      <c r="B18" s="35"/>
      <c r="C18" s="16"/>
      <c r="D18" s="16"/>
      <c r="E18" s="19"/>
      <c r="L18" s="246"/>
    </row>
    <row r="19" spans="2:12" s="33" customFormat="1" ht="15">
      <c r="B19" s="208" t="str">
        <f>Translation!A76</f>
        <v>TERTIARY SECTOR</v>
      </c>
      <c r="C19" s="209"/>
      <c r="D19" s="209"/>
      <c r="E19" s="211"/>
      <c r="L19" s="246"/>
    </row>
    <row r="20" spans="2:12" s="33" customFormat="1" ht="75">
      <c r="B20" s="338" t="str">
        <f>Translation!A77</f>
        <v>Trade, service and tourism</v>
      </c>
      <c r="C20" s="223" t="str">
        <f>ISEAP!C30</f>
        <v>Increase the use of district heating, biomass (firewood, pellets and wood bricks) and geothermal heatpumps for heating and hot water.</v>
      </c>
      <c r="D20" s="223" t="s">
        <v>1072</v>
      </c>
      <c r="E20" s="19">
        <f>ISEAP!G30</f>
        <v>1300000</v>
      </c>
      <c r="G20" s="249"/>
      <c r="H20" s="249">
        <f aca="true" t="shared" si="0" ref="H20:H25">E20</f>
        <v>1300000</v>
      </c>
      <c r="I20" s="245"/>
      <c r="J20" s="245"/>
      <c r="K20" s="245">
        <f aca="true" t="shared" si="1" ref="K20:K26">SUM(G20:J20)</f>
        <v>1300000</v>
      </c>
      <c r="L20" s="247">
        <f aca="true" t="shared" si="2" ref="L20:L26">K20-E20</f>
        <v>0</v>
      </c>
    </row>
    <row r="21" spans="2:12" s="33" customFormat="1" ht="30">
      <c r="B21" s="339"/>
      <c r="C21" s="223" t="str">
        <f>ISEAP!C31</f>
        <v>Increase of thermal insulation of new and existing buildings.</v>
      </c>
      <c r="D21" s="223" t="s">
        <v>1072</v>
      </c>
      <c r="E21" s="19">
        <f>ISEAP!G31</f>
        <v>5000000</v>
      </c>
      <c r="G21" s="249"/>
      <c r="H21" s="249">
        <f t="shared" si="0"/>
        <v>5000000</v>
      </c>
      <c r="I21" s="245"/>
      <c r="J21" s="245"/>
      <c r="K21" s="245">
        <f t="shared" si="1"/>
        <v>5000000</v>
      </c>
      <c r="L21" s="247">
        <f t="shared" si="2"/>
        <v>0</v>
      </c>
    </row>
    <row r="22" spans="2:12" s="33" customFormat="1" ht="105">
      <c r="B22" s="340"/>
      <c r="C22" s="223" t="str">
        <f>ISEAP!C32</f>
        <v>Installation of high efficiency lamps, light control sensors and temperature regulators; acquisition of energy efficient appliances; and raise awareness about efficient use of electricity, heat and hot water.</v>
      </c>
      <c r="D22" s="223" t="s">
        <v>1072</v>
      </c>
      <c r="E22" s="19">
        <f>ISEAP!G32</f>
        <v>447200</v>
      </c>
      <c r="G22" s="249"/>
      <c r="H22" s="249">
        <f t="shared" si="0"/>
        <v>447200</v>
      </c>
      <c r="I22" s="245"/>
      <c r="J22" s="245"/>
      <c r="K22" s="245">
        <f t="shared" si="1"/>
        <v>447200</v>
      </c>
      <c r="L22" s="247">
        <f t="shared" si="2"/>
        <v>0</v>
      </c>
    </row>
    <row r="23" spans="2:12" s="33" customFormat="1" ht="75">
      <c r="B23" s="338" t="str">
        <f>Translation!A78</f>
        <v>Public administration, schools and kindergardens</v>
      </c>
      <c r="C23" s="223" t="str">
        <f>ISEAP!C33</f>
        <v>Increase the use of district heating, biomass (firewood, pellets and wood bricks) and geothermal heatpumps for heating and hot water.</v>
      </c>
      <c r="D23" s="223" t="s">
        <v>1072</v>
      </c>
      <c r="E23" s="19">
        <f>ISEAP!G33</f>
        <v>250000</v>
      </c>
      <c r="G23" s="249"/>
      <c r="H23" s="249">
        <f t="shared" si="0"/>
        <v>250000</v>
      </c>
      <c r="I23" s="245"/>
      <c r="J23" s="245"/>
      <c r="K23" s="245">
        <f t="shared" si="1"/>
        <v>250000</v>
      </c>
      <c r="L23" s="247">
        <f t="shared" si="2"/>
        <v>0</v>
      </c>
    </row>
    <row r="24" spans="2:12" s="33" customFormat="1" ht="30">
      <c r="B24" s="339"/>
      <c r="C24" s="223" t="str">
        <f>ISEAP!C34</f>
        <v>Increase of thermal insulation of new and existing buildings.</v>
      </c>
      <c r="D24" s="223" t="s">
        <v>1072</v>
      </c>
      <c r="E24" s="19">
        <f>ISEAP!G34</f>
        <v>2500000</v>
      </c>
      <c r="G24" s="249"/>
      <c r="H24" s="249">
        <f t="shared" si="0"/>
        <v>2500000</v>
      </c>
      <c r="I24" s="245"/>
      <c r="J24" s="245"/>
      <c r="K24" s="245">
        <f t="shared" si="1"/>
        <v>2500000</v>
      </c>
      <c r="L24" s="247">
        <f t="shared" si="2"/>
        <v>0</v>
      </c>
    </row>
    <row r="25" spans="2:12" s="33" customFormat="1" ht="105">
      <c r="B25" s="340"/>
      <c r="C25" s="223" t="str">
        <f>ISEAP!C35</f>
        <v>Installation of high efficiency lamps, light control sensors and temperature regulators; acquisition of energy efficient appliances; and raise awareness about efficient use of electricity, heat and hot water.</v>
      </c>
      <c r="D25" s="223" t="s">
        <v>1072</v>
      </c>
      <c r="E25" s="19">
        <f>ISEAP!G35</f>
        <v>211600</v>
      </c>
      <c r="G25" s="249"/>
      <c r="H25" s="249">
        <f t="shared" si="0"/>
        <v>211600</v>
      </c>
      <c r="I25" s="245"/>
      <c r="J25" s="245"/>
      <c r="K25" s="245">
        <f t="shared" si="1"/>
        <v>211600</v>
      </c>
      <c r="L25" s="247">
        <f t="shared" si="2"/>
        <v>0</v>
      </c>
    </row>
    <row r="26" spans="2:12" s="33" customFormat="1" ht="45">
      <c r="B26" s="228" t="str">
        <f>Translation!A79</f>
        <v>Other services</v>
      </c>
      <c r="C26" s="223" t="str">
        <f>ISEAP!C36</f>
        <v>Installation of efficient lamps, luminaries and control sensors for street lighting.</v>
      </c>
      <c r="D26" s="223" t="s">
        <v>562</v>
      </c>
      <c r="E26" s="19">
        <f>ISEAP!G36</f>
        <v>71600</v>
      </c>
      <c r="G26" s="249"/>
      <c r="H26" s="249"/>
      <c r="I26" s="249">
        <f>E26</f>
        <v>71600</v>
      </c>
      <c r="J26" s="245"/>
      <c r="K26" s="245">
        <f t="shared" si="1"/>
        <v>71600</v>
      </c>
      <c r="L26" s="247">
        <f t="shared" si="2"/>
        <v>0</v>
      </c>
    </row>
    <row r="27" spans="2:12" s="33" customFormat="1" ht="7.5" customHeight="1">
      <c r="B27" s="35"/>
      <c r="C27" s="16"/>
      <c r="D27" s="16"/>
      <c r="E27" s="19"/>
      <c r="L27" s="246"/>
    </row>
    <row r="28" spans="2:12" s="33" customFormat="1" ht="15">
      <c r="B28" s="208" t="str">
        <f>Translation!A85</f>
        <v>TRANSPORTS</v>
      </c>
      <c r="C28" s="209"/>
      <c r="D28" s="209"/>
      <c r="E28" s="211"/>
      <c r="L28" s="246"/>
    </row>
    <row r="29" spans="2:12" s="33" customFormat="1" ht="45">
      <c r="B29" s="35" t="str">
        <f>Translation!A86</f>
        <v>Passenger road transport (public transports, taxi, tourism, school buses, etc.)</v>
      </c>
      <c r="C29" s="223" t="str">
        <f>ISEAP!C39</f>
        <v>Introduction of alternative forms of energy (biodiesel, biogas).</v>
      </c>
      <c r="D29" s="223" t="s">
        <v>1072</v>
      </c>
      <c r="E29" s="19">
        <f>ISEAP!G39</f>
        <v>2500</v>
      </c>
      <c r="G29" s="249"/>
      <c r="H29" s="249">
        <f>E29</f>
        <v>2500</v>
      </c>
      <c r="I29" s="245"/>
      <c r="J29" s="245"/>
      <c r="K29" s="245">
        <f>SUM(G29:J29)</f>
        <v>2500</v>
      </c>
      <c r="L29" s="247">
        <f>K29-E29</f>
        <v>0</v>
      </c>
    </row>
    <row r="30" spans="2:12" s="33" customFormat="1" ht="30">
      <c r="B30" s="35" t="str">
        <f>Translation!A87</f>
        <v>Freight transport by road and removal services</v>
      </c>
      <c r="C30" s="223">
        <f>ISEAP!C40</f>
        <v>0</v>
      </c>
      <c r="D30" s="16"/>
      <c r="E30" s="19">
        <f>ISEAP!G40</f>
        <v>0</v>
      </c>
      <c r="G30" s="249"/>
      <c r="H30" s="249"/>
      <c r="I30" s="245"/>
      <c r="J30" s="245"/>
      <c r="K30" s="245">
        <f>SUM(G30:J30)</f>
        <v>0</v>
      </c>
      <c r="L30" s="247">
        <f>K30-E30</f>
        <v>0</v>
      </c>
    </row>
    <row r="31" spans="2:12" s="33" customFormat="1" ht="75">
      <c r="B31" s="228" t="str">
        <f>Translation!A88</f>
        <v>Other fleet for public and private services, and private transports</v>
      </c>
      <c r="C31" s="223" t="str">
        <f>ISEAP!C41</f>
        <v>Increase use of alternative transports (regular bicycle, electric bicycle, electric rollers and electric cars) for private use, fleets and rental.</v>
      </c>
      <c r="D31" s="223" t="s">
        <v>555</v>
      </c>
      <c r="E31" s="19">
        <f>ISEAP!G41</f>
        <v>3712500</v>
      </c>
      <c r="G31" s="249">
        <f>E31*70%</f>
        <v>2598750</v>
      </c>
      <c r="H31" s="249">
        <f>E31*30%</f>
        <v>1113750</v>
      </c>
      <c r="I31" s="245"/>
      <c r="J31" s="245"/>
      <c r="K31" s="245">
        <f>SUM(G31:J31)</f>
        <v>3712500</v>
      </c>
      <c r="L31" s="247">
        <f>K31-E31</f>
        <v>0</v>
      </c>
    </row>
    <row r="32" spans="2:12" s="33" customFormat="1" ht="7.5" customHeight="1">
      <c r="B32" s="35"/>
      <c r="C32" s="16"/>
      <c r="D32" s="16"/>
      <c r="E32" s="19"/>
      <c r="L32" s="246"/>
    </row>
    <row r="33" spans="2:12" s="33" customFormat="1" ht="15">
      <c r="B33" s="208" t="str">
        <f>Translation!$A$173</f>
        <v>SECONDARY ENERGY PRODUCTION AND ENERGY FLUXES</v>
      </c>
      <c r="C33" s="209"/>
      <c r="D33" s="209"/>
      <c r="E33" s="211"/>
      <c r="L33" s="246"/>
    </row>
    <row r="34" spans="2:12" s="33" customFormat="1" ht="15" customHeight="1" hidden="1">
      <c r="B34" s="35" t="str">
        <f>Translation!$A$174</f>
        <v>Electricity (non-renewable)</v>
      </c>
      <c r="C34" s="16"/>
      <c r="D34" s="16"/>
      <c r="E34" s="19"/>
      <c r="L34" s="246"/>
    </row>
    <row r="35" spans="2:12" s="33" customFormat="1" ht="15" customHeight="1" hidden="1">
      <c r="B35" s="35" t="str">
        <f>Translation!$A$175</f>
        <v>Heat (non-renewable)</v>
      </c>
      <c r="C35" s="16"/>
      <c r="D35" s="16"/>
      <c r="E35" s="19"/>
      <c r="L35" s="246"/>
    </row>
    <row r="36" spans="2:12" s="33" customFormat="1" ht="15" customHeight="1" hidden="1">
      <c r="B36" s="35" t="str">
        <f>Translation!$A$176</f>
        <v>Cold (non-renewable)</v>
      </c>
      <c r="C36" s="16"/>
      <c r="D36" s="16"/>
      <c r="E36" s="19"/>
      <c r="L36" s="246"/>
    </row>
    <row r="37" spans="2:12" s="33" customFormat="1" ht="15" customHeight="1" hidden="1">
      <c r="B37" s="35" t="str">
        <f>Translation!$A$177</f>
        <v>Hydro</v>
      </c>
      <c r="C37" s="16"/>
      <c r="D37" s="16"/>
      <c r="E37" s="19"/>
      <c r="L37" s="246"/>
    </row>
    <row r="38" spans="2:12" s="33" customFormat="1" ht="45">
      <c r="B38" s="35" t="str">
        <f>Translation!$A$178</f>
        <v>Wind</v>
      </c>
      <c r="C38" s="223" t="str">
        <f>ISEAP!C48</f>
        <v>Installation of community windfarms.</v>
      </c>
      <c r="D38" s="223" t="s">
        <v>563</v>
      </c>
      <c r="E38" s="19">
        <f>ISEAP!G48</f>
        <v>14962500.000000002</v>
      </c>
      <c r="G38" s="249">
        <f>E38*5%</f>
        <v>748125.0000000001</v>
      </c>
      <c r="H38" s="249">
        <f>E38*90%</f>
        <v>13466250.000000002</v>
      </c>
      <c r="I38" s="245">
        <f>E38*5%</f>
        <v>748125.0000000001</v>
      </c>
      <c r="J38" s="245"/>
      <c r="K38" s="245">
        <f aca="true" t="shared" si="3" ref="K38:K43">SUM(G38:J38)</f>
        <v>14962500.000000002</v>
      </c>
      <c r="L38" s="247">
        <f aca="true" t="shared" si="4" ref="L38:L43">K38-E38</f>
        <v>0</v>
      </c>
    </row>
    <row r="39" spans="2:12" s="33" customFormat="1" ht="15" customHeight="1" hidden="1">
      <c r="B39" s="35" t="str">
        <f>Translation!$A$179</f>
        <v>Solar</v>
      </c>
      <c r="C39" s="223">
        <f>ISEAP!C49</f>
        <v>0</v>
      </c>
      <c r="D39" s="16"/>
      <c r="E39" s="19">
        <f>ISEAP!G49</f>
        <v>0</v>
      </c>
      <c r="G39" s="249"/>
      <c r="H39" s="249"/>
      <c r="I39" s="245"/>
      <c r="J39" s="245"/>
      <c r="K39" s="245">
        <f t="shared" si="3"/>
        <v>0</v>
      </c>
      <c r="L39" s="247">
        <f t="shared" si="4"/>
        <v>0</v>
      </c>
    </row>
    <row r="40" spans="2:12" s="33" customFormat="1" ht="15" customHeight="1" hidden="1">
      <c r="B40" s="35" t="str">
        <f>Translation!$A$180</f>
        <v>Geothermal</v>
      </c>
      <c r="C40" s="223">
        <f>ISEAP!C50</f>
        <v>0</v>
      </c>
      <c r="D40" s="16"/>
      <c r="E40" s="19">
        <f>ISEAP!G50</f>
        <v>0</v>
      </c>
      <c r="G40" s="249"/>
      <c r="H40" s="249"/>
      <c r="I40" s="245"/>
      <c r="J40" s="245"/>
      <c r="K40" s="245">
        <f t="shared" si="3"/>
        <v>0</v>
      </c>
      <c r="L40" s="247">
        <f t="shared" si="4"/>
        <v>0</v>
      </c>
    </row>
    <row r="41" spans="2:12" s="33" customFormat="1" ht="15" customHeight="1" hidden="1">
      <c r="B41" s="35" t="str">
        <f>Translation!$A$181</f>
        <v>Ocean</v>
      </c>
      <c r="C41" s="223">
        <f>ISEAP!C51</f>
        <v>0</v>
      </c>
      <c r="D41" s="16"/>
      <c r="E41" s="19">
        <f>ISEAP!G51</f>
        <v>0</v>
      </c>
      <c r="G41" s="249"/>
      <c r="H41" s="249"/>
      <c r="I41" s="245"/>
      <c r="J41" s="245"/>
      <c r="K41" s="245">
        <f t="shared" si="3"/>
        <v>0</v>
      </c>
      <c r="L41" s="247">
        <f t="shared" si="4"/>
        <v>0</v>
      </c>
    </row>
    <row r="42" spans="2:12" s="33" customFormat="1" ht="60">
      <c r="B42" s="338" t="str">
        <f>Translation!$A$182</f>
        <v>Biomass</v>
      </c>
      <c r="C42" s="223" t="str">
        <f>ISEAP!C52</f>
        <v>Installation of biomass cogeneration power plants in larger settlements (Kärdla, Käina, Kõrgessaare, etc.).</v>
      </c>
      <c r="D42" s="223" t="s">
        <v>564</v>
      </c>
      <c r="E42" s="19">
        <f>ISEAP!G52</f>
        <v>19350240</v>
      </c>
      <c r="G42" s="249"/>
      <c r="H42" s="249">
        <f>E42*50%</f>
        <v>9675120</v>
      </c>
      <c r="I42" s="245">
        <f>E42*50%</f>
        <v>9675120</v>
      </c>
      <c r="J42" s="245"/>
      <c r="K42" s="245">
        <f t="shared" si="3"/>
        <v>19350240</v>
      </c>
      <c r="L42" s="247">
        <f t="shared" si="4"/>
        <v>0</v>
      </c>
    </row>
    <row r="43" spans="2:12" s="33" customFormat="1" ht="30">
      <c r="B43" s="340"/>
      <c r="C43" s="223" t="str">
        <f>ISEAP!C53</f>
        <v>Local production of pellets and wood bricks.</v>
      </c>
      <c r="D43" s="223" t="s">
        <v>1072</v>
      </c>
      <c r="E43" s="19">
        <f>ISEAP!G53</f>
        <v>250000</v>
      </c>
      <c r="G43" s="249"/>
      <c r="H43" s="249">
        <f>E43</f>
        <v>250000</v>
      </c>
      <c r="I43" s="245"/>
      <c r="J43" s="245"/>
      <c r="K43" s="245">
        <f t="shared" si="3"/>
        <v>250000</v>
      </c>
      <c r="L43" s="247">
        <f t="shared" si="4"/>
        <v>0</v>
      </c>
    </row>
    <row r="44" spans="2:12" s="33" customFormat="1" ht="15" customHeight="1" hidden="1">
      <c r="B44" s="35" t="str">
        <f>Translation!$A$183</f>
        <v>Urban waste</v>
      </c>
      <c r="C44" s="16"/>
      <c r="D44" s="16"/>
      <c r="E44" s="19"/>
      <c r="L44" s="246"/>
    </row>
    <row r="45" spans="2:12" s="33" customFormat="1" ht="15" customHeight="1" hidden="1">
      <c r="B45" s="35" t="str">
        <f>Translation!$A$184</f>
        <v>Storage</v>
      </c>
      <c r="C45" s="16"/>
      <c r="D45" s="16"/>
      <c r="E45" s="19"/>
      <c r="L45" s="246"/>
    </row>
    <row r="46" spans="2:12" s="33" customFormat="1" ht="15" customHeight="1" hidden="1">
      <c r="B46" s="35" t="str">
        <f>Translation!$A$185</f>
        <v>External connection</v>
      </c>
      <c r="C46" s="16"/>
      <c r="D46" s="16"/>
      <c r="E46" s="19"/>
      <c r="L46" s="246"/>
    </row>
    <row r="47" spans="2:12" s="33" customFormat="1" ht="30" customHeight="1" hidden="1">
      <c r="B47" s="35" t="str">
        <f>Translation!$A$186</f>
        <v>Distribution losses and self-consumption</v>
      </c>
      <c r="C47" s="16"/>
      <c r="D47" s="16"/>
      <c r="E47" s="19"/>
      <c r="L47" s="246"/>
    </row>
    <row r="48" spans="2:12" s="33" customFormat="1" ht="7.5" customHeight="1">
      <c r="B48" s="35"/>
      <c r="C48" s="16"/>
      <c r="D48" s="16"/>
      <c r="E48" s="19"/>
      <c r="L48" s="246"/>
    </row>
    <row r="49" spans="2:12" s="33" customFormat="1" ht="15">
      <c r="B49" s="208" t="str">
        <f>Translation!A187</f>
        <v>LAND USE PLANNING</v>
      </c>
      <c r="C49" s="209"/>
      <c r="D49" s="209"/>
      <c r="E49" s="211"/>
      <c r="L49" s="246"/>
    </row>
    <row r="50" spans="2:12" s="33" customFormat="1" ht="120">
      <c r="B50" s="35" t="str">
        <f>Translation!A188</f>
        <v>Regional and local strategic planning</v>
      </c>
      <c r="C50" s="223" t="str">
        <f>ISEAP!C61</f>
        <v>Integration of criteria and norms in land use planning and municipal regulations that encourage the connection to district heating and the minimization of energy needs in transports and buildings, for new settlements.</v>
      </c>
      <c r="D50" s="223" t="s">
        <v>562</v>
      </c>
      <c r="E50" s="19">
        <f>ISEAP!G61</f>
        <v>10000</v>
      </c>
      <c r="G50" s="249"/>
      <c r="H50" s="249"/>
      <c r="I50" s="249">
        <f>E50</f>
        <v>10000</v>
      </c>
      <c r="J50" s="245"/>
      <c r="K50" s="245">
        <f>SUM(G50:J50)</f>
        <v>10000</v>
      </c>
      <c r="L50" s="247">
        <f>K50-E50</f>
        <v>0</v>
      </c>
    </row>
    <row r="51" spans="2:12" s="33" customFormat="1" ht="45">
      <c r="B51" s="35" t="str">
        <f>Translation!A189</f>
        <v>Transports and mobility planning</v>
      </c>
      <c r="C51" s="223" t="str">
        <f>ISEAP!C62</f>
        <v>Installation of supply infrastructures for electric vehicles.</v>
      </c>
      <c r="D51" s="223" t="s">
        <v>565</v>
      </c>
      <c r="E51" s="19">
        <f>ISEAP!G62</f>
        <v>50000</v>
      </c>
      <c r="G51" s="249"/>
      <c r="H51" s="249">
        <f>E51/3</f>
        <v>16666.666666666668</v>
      </c>
      <c r="I51" s="249">
        <f>E51/3</f>
        <v>16666.666666666668</v>
      </c>
      <c r="J51" s="249">
        <f>E51/3</f>
        <v>16666.666666666668</v>
      </c>
      <c r="K51" s="245">
        <f>SUM(G51:J51)</f>
        <v>50000</v>
      </c>
      <c r="L51" s="247">
        <f>K51-E51</f>
        <v>0</v>
      </c>
    </row>
    <row r="52" spans="2:12" s="33" customFormat="1" ht="45">
      <c r="B52" s="35" t="str">
        <f>Translation!A190</f>
        <v>Energy infrastructures planning</v>
      </c>
      <c r="C52" s="223" t="str">
        <f>ISEAP!C63</f>
        <v>Increase the coverage of the disctrict heating network.</v>
      </c>
      <c r="D52" s="223" t="s">
        <v>565</v>
      </c>
      <c r="E52" s="19">
        <f>ISEAP!G63</f>
        <v>2000000</v>
      </c>
      <c r="G52" s="249"/>
      <c r="H52" s="249">
        <f>E52/3</f>
        <v>666666.6666666666</v>
      </c>
      <c r="I52" s="249">
        <f>E52/3</f>
        <v>666666.6666666666</v>
      </c>
      <c r="J52" s="249">
        <f>E52/3</f>
        <v>666666.6666666666</v>
      </c>
      <c r="K52" s="245">
        <f>SUM(G52:J52)</f>
        <v>2000000</v>
      </c>
      <c r="L52" s="247">
        <f>K52-E52</f>
        <v>0</v>
      </c>
    </row>
    <row r="53" spans="2:12" s="33" customFormat="1" ht="30">
      <c r="B53" s="35" t="str">
        <f>Translation!A191</f>
        <v>Renewable energy land use planning</v>
      </c>
      <c r="C53" s="223" t="str">
        <f>ISEAP!C64</f>
        <v>Establishment of areas for renewable energies.</v>
      </c>
      <c r="D53" s="223" t="s">
        <v>562</v>
      </c>
      <c r="E53" s="19">
        <f>ISEAP!G64</f>
        <v>20000</v>
      </c>
      <c r="G53" s="249"/>
      <c r="H53" s="249"/>
      <c r="I53" s="249">
        <f>E53</f>
        <v>20000</v>
      </c>
      <c r="J53" s="245"/>
      <c r="K53" s="245">
        <f>SUM(G53:J53)</f>
        <v>20000</v>
      </c>
      <c r="L53" s="247">
        <f>K53-E53</f>
        <v>0</v>
      </c>
    </row>
    <row r="54" spans="2:12" s="33" customFormat="1" ht="7.5" customHeight="1">
      <c r="B54" s="35"/>
      <c r="C54" s="16"/>
      <c r="D54" s="16"/>
      <c r="E54" s="19"/>
      <c r="L54" s="246"/>
    </row>
    <row r="55" spans="2:12" s="33" customFormat="1" ht="15">
      <c r="B55" s="208" t="str">
        <f>Translation!A192</f>
        <v>PUBLIC PROCUREMENT OF PRODUCTS AND SERVICES</v>
      </c>
      <c r="C55" s="209"/>
      <c r="D55" s="209"/>
      <c r="E55" s="211"/>
      <c r="L55" s="246"/>
    </row>
    <row r="56" spans="2:12" s="33" customFormat="1" ht="75">
      <c r="B56" s="35" t="str">
        <f>Translation!A193</f>
        <v>Energy efficiency requirements/standards</v>
      </c>
      <c r="C56" s="223" t="str">
        <f>ISEAP!C67</f>
        <v>Definition of standards and criteria for energy efficiency in the specifications of tender documents for procurement of works, goods and services.</v>
      </c>
      <c r="D56" s="223" t="s">
        <v>564</v>
      </c>
      <c r="E56" s="19">
        <f>ISEAP!G67</f>
        <v>0</v>
      </c>
      <c r="G56" s="249"/>
      <c r="H56" s="249"/>
      <c r="I56" s="245"/>
      <c r="J56" s="245"/>
      <c r="K56" s="245">
        <f>SUM(G56:J56)</f>
        <v>0</v>
      </c>
      <c r="L56" s="247">
        <f>K56-E56</f>
        <v>0</v>
      </c>
    </row>
    <row r="57" spans="2:12" s="33" customFormat="1" ht="90">
      <c r="B57" s="35" t="str">
        <f>Translation!A194</f>
        <v>Renewable energy requirements/standards</v>
      </c>
      <c r="C57" s="223" t="str">
        <f>ISEAP!C68</f>
        <v>Definition of standards and criteria for use of renewable energy in the specifications of tender documents for procurement of works, goods and services.</v>
      </c>
      <c r="D57" s="223" t="s">
        <v>564</v>
      </c>
      <c r="E57" s="19">
        <f>ISEAP!G68</f>
        <v>0</v>
      </c>
      <c r="G57" s="249"/>
      <c r="H57" s="249"/>
      <c r="I57" s="245"/>
      <c r="J57" s="245"/>
      <c r="K57" s="245">
        <f>SUM(G57:J57)</f>
        <v>0</v>
      </c>
      <c r="L57" s="247">
        <f>K57-E57</f>
        <v>0</v>
      </c>
    </row>
    <row r="58" spans="2:12" s="33" customFormat="1" ht="7.5" customHeight="1">
      <c r="B58" s="35"/>
      <c r="C58" s="16"/>
      <c r="D58" s="16"/>
      <c r="E58" s="19"/>
      <c r="L58" s="246"/>
    </row>
    <row r="59" spans="2:12" s="33" customFormat="1" ht="15">
      <c r="B59" s="208" t="str">
        <f>Translation!A195</f>
        <v>CITIZENS AND STAKEHOLDERS</v>
      </c>
      <c r="C59" s="209"/>
      <c r="D59" s="209"/>
      <c r="E59" s="211"/>
      <c r="L59" s="246"/>
    </row>
    <row r="60" spans="2:12" s="33" customFormat="1" ht="60">
      <c r="B60" s="35" t="str">
        <f>Translation!A196</f>
        <v>Advisory services</v>
      </c>
      <c r="C60" s="223" t="str">
        <f>ISEAP!C71</f>
        <v>Creation of an Internet-based for sustainable energy advisory service for local businesses and residents.</v>
      </c>
      <c r="D60" s="16" t="s">
        <v>1088</v>
      </c>
      <c r="E60" s="19">
        <f>ISEAP!G71</f>
        <v>36600</v>
      </c>
      <c r="G60" s="249"/>
      <c r="H60" s="249"/>
      <c r="I60" s="245"/>
      <c r="J60" s="249">
        <f>E60</f>
        <v>36600</v>
      </c>
      <c r="K60" s="245">
        <f aca="true" t="shared" si="5" ref="K60:K68">SUM(G60:J60)</f>
        <v>36600</v>
      </c>
      <c r="L60" s="247">
        <f aca="true" t="shared" si="6" ref="L60:L68">K60-E60</f>
        <v>0</v>
      </c>
    </row>
    <row r="61" spans="2:12" s="33" customFormat="1" ht="90">
      <c r="B61" s="338" t="str">
        <f>Translation!A197</f>
        <v>Financial support and grants</v>
      </c>
      <c r="C61" s="223" t="str">
        <f>ISEAP!C72</f>
        <v>Financial support to infrastructures for sustainable energy, including electric cars charging stations and improvement of electric grid to receive renewable energies.</v>
      </c>
      <c r="D61" s="223" t="s">
        <v>566</v>
      </c>
      <c r="E61" s="19">
        <f>ISEAP!G72</f>
        <v>0</v>
      </c>
      <c r="G61" s="249"/>
      <c r="H61" s="249"/>
      <c r="I61" s="245"/>
      <c r="J61" s="245"/>
      <c r="K61" s="245">
        <f t="shared" si="5"/>
        <v>0</v>
      </c>
      <c r="L61" s="247">
        <f t="shared" si="6"/>
        <v>0</v>
      </c>
    </row>
    <row r="62" spans="2:12" s="33" customFormat="1" ht="60">
      <c r="B62" s="339"/>
      <c r="C62" s="223" t="str">
        <f>ISEAP!C73</f>
        <v>Application for infrastructures and sustainable energy projects to national and european support programs.</v>
      </c>
      <c r="D62" s="223" t="s">
        <v>567</v>
      </c>
      <c r="E62" s="19">
        <f>ISEAP!G73</f>
        <v>0</v>
      </c>
      <c r="G62" s="249"/>
      <c r="H62" s="249"/>
      <c r="I62" s="245"/>
      <c r="J62" s="245"/>
      <c r="K62" s="245">
        <f t="shared" si="5"/>
        <v>0</v>
      </c>
      <c r="L62" s="247">
        <f t="shared" si="6"/>
        <v>0</v>
      </c>
    </row>
    <row r="63" spans="2:12" s="33" customFormat="1" ht="75">
      <c r="B63" s="340"/>
      <c r="C63" s="223" t="str">
        <f>ISEAP!C74</f>
        <v>Promotion of financing and credit instruments for sustainable energy investments (energy service companies and banks). </v>
      </c>
      <c r="D63" s="223" t="s">
        <v>568</v>
      </c>
      <c r="E63" s="19">
        <f>ISEAP!G74</f>
        <v>0</v>
      </c>
      <c r="G63" s="249"/>
      <c r="H63" s="249"/>
      <c r="I63" s="245"/>
      <c r="J63" s="245"/>
      <c r="K63" s="245">
        <f t="shared" si="5"/>
        <v>0</v>
      </c>
      <c r="L63" s="247">
        <f t="shared" si="6"/>
        <v>0</v>
      </c>
    </row>
    <row r="64" spans="2:12" s="33" customFormat="1" ht="60">
      <c r="B64" s="338" t="str">
        <f>Translation!A198</f>
        <v>Awareness raising and networking</v>
      </c>
      <c r="C64" s="223" t="str">
        <f>ISEAP!C75</f>
        <v>Elaboration of information leaflets about sustainable energy use and efficient appliances and water heaters.</v>
      </c>
      <c r="D64" s="16" t="s">
        <v>1088</v>
      </c>
      <c r="E64" s="19">
        <f>ISEAP!G75</f>
        <v>20000</v>
      </c>
      <c r="G64" s="249"/>
      <c r="H64" s="249"/>
      <c r="I64" s="245"/>
      <c r="J64" s="249">
        <f>E64</f>
        <v>20000</v>
      </c>
      <c r="K64" s="245">
        <f t="shared" si="5"/>
        <v>20000</v>
      </c>
      <c r="L64" s="247">
        <f t="shared" si="6"/>
        <v>0</v>
      </c>
    </row>
    <row r="65" spans="2:12" s="33" customFormat="1" ht="45">
      <c r="B65" s="339"/>
      <c r="C65" s="223" t="str">
        <f>ISEAP!C76</f>
        <v>Development of cooperation projects with governments, civil society and other regions.</v>
      </c>
      <c r="D65" s="223" t="s">
        <v>569</v>
      </c>
      <c r="E65" s="19">
        <f>ISEAP!G76</f>
        <v>200000</v>
      </c>
      <c r="G65" s="249"/>
      <c r="H65" s="249"/>
      <c r="I65" s="245">
        <f>E65*90%</f>
        <v>180000</v>
      </c>
      <c r="J65" s="249">
        <f>E65*10%</f>
        <v>20000</v>
      </c>
      <c r="K65" s="245">
        <f t="shared" si="5"/>
        <v>200000</v>
      </c>
      <c r="L65" s="247">
        <f t="shared" si="6"/>
        <v>0</v>
      </c>
    </row>
    <row r="66" spans="2:12" s="33" customFormat="1" ht="60">
      <c r="B66" s="339"/>
      <c r="C66" s="223" t="str">
        <f>ISEAP!C77</f>
        <v>Training operators to introduce new energy-efficient materials in the construction and rehabilitation of buildings.</v>
      </c>
      <c r="D66" s="223" t="s">
        <v>570</v>
      </c>
      <c r="E66" s="19">
        <f>ISEAP!G77</f>
        <v>100000</v>
      </c>
      <c r="G66" s="249"/>
      <c r="H66" s="249">
        <f>E66*90%</f>
        <v>90000</v>
      </c>
      <c r="I66" s="245"/>
      <c r="J66" s="245">
        <f>E66*10%</f>
        <v>10000</v>
      </c>
      <c r="K66" s="245">
        <f t="shared" si="5"/>
        <v>100000</v>
      </c>
      <c r="L66" s="247">
        <f t="shared" si="6"/>
        <v>0</v>
      </c>
    </row>
    <row r="67" spans="2:12" s="33" customFormat="1" ht="45">
      <c r="B67" s="340"/>
      <c r="C67" s="223" t="str">
        <f>ISEAP!C78</f>
        <v>Tourist information to promote sustainable energy use during the visit.</v>
      </c>
      <c r="D67" s="223" t="s">
        <v>570</v>
      </c>
      <c r="E67" s="19">
        <f>ISEAP!G78</f>
        <v>10000</v>
      </c>
      <c r="G67" s="249"/>
      <c r="H67" s="249">
        <f>E67*90%</f>
        <v>9000</v>
      </c>
      <c r="I67" s="245"/>
      <c r="J67" s="245">
        <f>E67*10%</f>
        <v>1000</v>
      </c>
      <c r="K67" s="245">
        <f t="shared" si="5"/>
        <v>10000</v>
      </c>
      <c r="L67" s="247">
        <f t="shared" si="6"/>
        <v>0</v>
      </c>
    </row>
    <row r="68" spans="2:12" s="33" customFormat="1" ht="60">
      <c r="B68" s="35" t="str">
        <f>Translation!A199</f>
        <v>Training and education</v>
      </c>
      <c r="C68" s="223" t="str">
        <f>ISEAP!C79</f>
        <v>Development of energy initiatives involving school programs (guides, games, competitions, etc.).</v>
      </c>
      <c r="D68" s="223" t="s">
        <v>571</v>
      </c>
      <c r="E68" s="19">
        <f>ISEAP!G79</f>
        <v>10000</v>
      </c>
      <c r="G68" s="249"/>
      <c r="H68" s="249"/>
      <c r="I68" s="245"/>
      <c r="J68" s="249">
        <f>E68</f>
        <v>10000</v>
      </c>
      <c r="K68" s="245">
        <f t="shared" si="5"/>
        <v>10000</v>
      </c>
      <c r="L68" s="247">
        <f t="shared" si="6"/>
        <v>0</v>
      </c>
    </row>
    <row r="69" spans="2:12" s="33" customFormat="1" ht="15">
      <c r="B69" s="35" t="str">
        <f>Translation!A200</f>
        <v>Monitoring</v>
      </c>
      <c r="C69" s="16"/>
      <c r="D69" s="16"/>
      <c r="E69" s="19">
        <f>ISEAP!G80</f>
        <v>0</v>
      </c>
      <c r="L69" s="246"/>
    </row>
    <row r="70" spans="2:12" s="33" customFormat="1" ht="15">
      <c r="B70" s="35" t="str">
        <f>Translation!A201</f>
        <v>Regulamentation</v>
      </c>
      <c r="C70" s="16"/>
      <c r="D70" s="16"/>
      <c r="E70" s="19">
        <f>ISEAP!G81</f>
        <v>0</v>
      </c>
      <c r="L70" s="246"/>
    </row>
    <row r="71" spans="2:12" s="33" customFormat="1" ht="7.5" customHeight="1">
      <c r="B71" s="35"/>
      <c r="C71" s="16"/>
      <c r="D71" s="16"/>
      <c r="E71" s="19"/>
      <c r="L71" s="246"/>
    </row>
    <row r="72" spans="6:11" ht="18.75" customHeight="1">
      <c r="F72" s="251" t="s">
        <v>1144</v>
      </c>
      <c r="G72" s="252">
        <f>SUM(G4:G68)</f>
        <v>31335675</v>
      </c>
      <c r="H72" s="252">
        <f>SUM(H4:H68)</f>
        <v>35969753.33333333</v>
      </c>
      <c r="I72" s="252">
        <f>SUM(I4:I68)</f>
        <v>11388178.333333332</v>
      </c>
      <c r="J72" s="252">
        <f>SUM(J4:J68)</f>
        <v>780933.3333333333</v>
      </c>
      <c r="K72" s="252">
        <f>SUM(K4:K68)</f>
        <v>79474540</v>
      </c>
    </row>
    <row r="73" spans="6:11" ht="18.75" customHeight="1">
      <c r="F73" s="251" t="s">
        <v>1371</v>
      </c>
      <c r="G73" s="253">
        <f>G72/1000000</f>
        <v>31.335675</v>
      </c>
      <c r="H73" s="253">
        <f>H72/1000000</f>
        <v>35.96975333333333</v>
      </c>
      <c r="I73" s="253">
        <f>I72/1000000</f>
        <v>11.388178333333332</v>
      </c>
      <c r="J73" s="253">
        <f>J72/1000000</f>
        <v>0.7809333333333333</v>
      </c>
      <c r="K73" s="253">
        <f>K72/1000000</f>
        <v>79.47454</v>
      </c>
    </row>
    <row r="74" spans="7:10" ht="15.75">
      <c r="G74" s="250">
        <f>G72/$K$72</f>
        <v>0.39428570457910167</v>
      </c>
      <c r="H74" s="250">
        <f>H72/$K$72</f>
        <v>0.45259467161852496</v>
      </c>
      <c r="I74" s="250">
        <f>I72/$K$72</f>
        <v>0.143293416147276</v>
      </c>
      <c r="J74" s="250">
        <f>J72/$K$72</f>
        <v>0.009826207655097258</v>
      </c>
    </row>
    <row r="79" spans="2:6" ht="15.75">
      <c r="B79" s="364" t="s">
        <v>1353</v>
      </c>
      <c r="C79" s="364" t="s">
        <v>1354</v>
      </c>
      <c r="D79" s="364"/>
      <c r="E79" s="364"/>
      <c r="F79" s="235" t="s">
        <v>1355</v>
      </c>
    </row>
    <row r="80" spans="2:6" ht="33">
      <c r="B80" s="364"/>
      <c r="C80" s="235" t="s">
        <v>1357</v>
      </c>
      <c r="D80" s="235" t="s">
        <v>1359</v>
      </c>
      <c r="E80" s="235" t="s">
        <v>1368</v>
      </c>
      <c r="F80" s="235" t="s">
        <v>1356</v>
      </c>
    </row>
    <row r="81" spans="2:6" ht="15.75">
      <c r="B81" s="364"/>
      <c r="C81" s="235" t="s">
        <v>1358</v>
      </c>
      <c r="D81" s="235" t="s">
        <v>1358</v>
      </c>
      <c r="E81" s="235" t="s">
        <v>1360</v>
      </c>
      <c r="F81" s="236"/>
    </row>
    <row r="82" spans="2:6" ht="15.75">
      <c r="B82" s="237" t="s">
        <v>1361</v>
      </c>
      <c r="C82" s="238">
        <f>ISEAP!K14</f>
        <v>1079</v>
      </c>
      <c r="D82" s="238">
        <f>ISEAP!L14</f>
        <v>11322</v>
      </c>
      <c r="E82" s="238">
        <f>ISEAP!M14</f>
        <v>7898</v>
      </c>
      <c r="F82" s="243">
        <f>SUM(E4:E8)/1000000</f>
        <v>27.9888</v>
      </c>
    </row>
    <row r="83" spans="2:6" ht="15.75">
      <c r="B83" s="237" t="s">
        <v>1362</v>
      </c>
      <c r="C83" s="242">
        <f>ISEAP!K20</f>
        <v>0</v>
      </c>
      <c r="D83" s="242">
        <f>ISEAP!L20</f>
        <v>0</v>
      </c>
      <c r="E83" s="242">
        <f>ISEAP!M20</f>
        <v>0</v>
      </c>
      <c r="F83" s="243">
        <f>SUM(E10:E12)/1000000</f>
        <v>0</v>
      </c>
    </row>
    <row r="84" spans="2:6" ht="15.75">
      <c r="B84" s="237" t="s">
        <v>1363</v>
      </c>
      <c r="C84" s="238">
        <f>ISEAP!K24</f>
        <v>1211</v>
      </c>
      <c r="D84" s="238">
        <f>ISEAP!L24</f>
        <v>740</v>
      </c>
      <c r="E84" s="238">
        <f>ISEAP!M24</f>
        <v>1427</v>
      </c>
      <c r="F84" s="243">
        <f>SUM(E14:E18)/1000000</f>
        <v>0.971</v>
      </c>
    </row>
    <row r="85" spans="2:6" ht="15.75">
      <c r="B85" s="237" t="s">
        <v>1364</v>
      </c>
      <c r="C85" s="238">
        <f>ISEAP!K30</f>
        <v>2704</v>
      </c>
      <c r="D85" s="238">
        <f>ISEAP!L30</f>
        <v>3804</v>
      </c>
      <c r="E85" s="238">
        <f>ISEAP!M30</f>
        <v>3941</v>
      </c>
      <c r="F85" s="243">
        <f>SUM(E20:E27)/1000000</f>
        <v>9.7804</v>
      </c>
    </row>
    <row r="86" spans="2:6" ht="15.75">
      <c r="B86" s="237" t="s">
        <v>1365</v>
      </c>
      <c r="C86" s="238">
        <f>ISEAP!K39</f>
        <v>1986</v>
      </c>
      <c r="D86" s="238">
        <f>ISEAP!L39</f>
        <v>555</v>
      </c>
      <c r="E86" s="238">
        <f>ISEAP!M39</f>
        <v>599</v>
      </c>
      <c r="F86" s="243">
        <f>SUM(E29:E32)/1000000</f>
        <v>3.715</v>
      </c>
    </row>
    <row r="87" spans="2:6" ht="15.75">
      <c r="B87" s="237" t="s">
        <v>1366</v>
      </c>
      <c r="C87" s="238">
        <f>ISEAP!K44</f>
        <v>0</v>
      </c>
      <c r="D87" s="238">
        <f>ISEAP!L44</f>
        <v>77304</v>
      </c>
      <c r="E87" s="238">
        <f>ISEAP!M44</f>
        <v>26680</v>
      </c>
      <c r="F87" s="243">
        <f>SUM(E38:E48)/1000000</f>
        <v>34.56274</v>
      </c>
    </row>
    <row r="88" spans="2:6" ht="15.75">
      <c r="B88" s="237" t="s">
        <v>1367</v>
      </c>
      <c r="C88" s="239" t="s">
        <v>138</v>
      </c>
      <c r="D88" s="239" t="s">
        <v>138</v>
      </c>
      <c r="E88" s="239" t="s">
        <v>138</v>
      </c>
      <c r="F88" s="243">
        <f>SUM(ISEAP!G61:G82)/1000000</f>
        <v>2.4566</v>
      </c>
    </row>
    <row r="89" spans="2:6" ht="15.75">
      <c r="B89" s="240" t="s">
        <v>1144</v>
      </c>
      <c r="C89" s="241">
        <f>SUM(C82:C88)</f>
        <v>6980</v>
      </c>
      <c r="D89" s="241">
        <f>SUM(D82:D88)</f>
        <v>93725</v>
      </c>
      <c r="E89" s="241">
        <f>SUM(E82:E88)</f>
        <v>40545</v>
      </c>
      <c r="F89" s="244">
        <f>SUM(F82:F88)</f>
        <v>79.47454</v>
      </c>
    </row>
  </sheetData>
  <sheetProtection/>
  <mergeCells count="18">
    <mergeCell ref="B79:B81"/>
    <mergeCell ref="C79:E79"/>
    <mergeCell ref="G1:G3"/>
    <mergeCell ref="H1:H3"/>
    <mergeCell ref="I1:I3"/>
    <mergeCell ref="J1:J3"/>
    <mergeCell ref="B61:B63"/>
    <mergeCell ref="B64:B67"/>
    <mergeCell ref="K1:K3"/>
    <mergeCell ref="B42:B43"/>
    <mergeCell ref="B20:B22"/>
    <mergeCell ref="B23:B25"/>
    <mergeCell ref="B14:B15"/>
    <mergeCell ref="B4:B7"/>
    <mergeCell ref="B1:B2"/>
    <mergeCell ref="C1:C2"/>
    <mergeCell ref="D1:D2"/>
    <mergeCell ref="E1:E2"/>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Filipe Oliveira</dc:creator>
  <cp:keywords/>
  <dc:description/>
  <cp:lastModifiedBy>kaidi</cp:lastModifiedBy>
  <cp:lastPrinted>2011-12-08T15:15:54Z</cp:lastPrinted>
  <dcterms:created xsi:type="dcterms:W3CDTF">2011-03-07T15:38:06Z</dcterms:created>
  <dcterms:modified xsi:type="dcterms:W3CDTF">2012-11-14T13:56:00Z</dcterms:modified>
  <cp:category/>
  <cp:version/>
  <cp:contentType/>
  <cp:contentStatus/>
</cp:coreProperties>
</file>